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4232" windowHeight="8952" firstSheet="3" activeTab="3"/>
  </bookViews>
  <sheets>
    <sheet name="Application, maintenance" sheetId="1" r:id="rId1"/>
    <sheet name="Application, cook" sheetId="2" r:id="rId2"/>
    <sheet name="Application, video" sheetId="3" r:id="rId3"/>
    <sheet name="Application, couselor &amp; other" sheetId="4" r:id="rId4"/>
    <sheet name="Reference Form, Maintenance" sheetId="5" r:id="rId5"/>
    <sheet name="Reference Form" sheetId="6" r:id="rId6"/>
    <sheet name="DV-IDENTITY-0" sheetId="7" state="veryHidden" r:id="rId7"/>
  </sheets>
  <definedNames>
    <definedName name="_xlnm.Print_Area" localSheetId="1">'Application, cook'!$A$1:$K$122</definedName>
    <definedName name="_xlnm.Print_Area" localSheetId="3">'Application, couselor &amp; other'!$A$1:$K$131</definedName>
    <definedName name="_xlnm.Print_Area" localSheetId="0">'Application, maintenance'!$A$1:$K$122</definedName>
    <definedName name="_xlnm.Print_Area" localSheetId="2">'Application, video'!$A$1:$K$134</definedName>
    <definedName name="_xlnm.Print_Area" localSheetId="5">'Reference Form'!$A$1:$F$110</definedName>
    <definedName name="_xlnm.Print_Area" localSheetId="4">'Reference Form, Maintenance'!$A$1:$F$110</definedName>
  </definedNames>
  <calcPr fullCalcOnLoad="1"/>
</workbook>
</file>

<file path=xl/sharedStrings.xml><?xml version="1.0" encoding="utf-8"?>
<sst xmlns="http://schemas.openxmlformats.org/spreadsheetml/2006/main" count="596" uniqueCount="193">
  <si>
    <t>Street Address</t>
  </si>
  <si>
    <t>Phone</t>
  </si>
  <si>
    <t>Email</t>
  </si>
  <si>
    <t>City, State, Zip</t>
  </si>
  <si>
    <t>GENERAL  INFORMATION</t>
  </si>
  <si>
    <t>REFERENCES</t>
  </si>
  <si>
    <t>1.  Please contact your references before listing.</t>
  </si>
  <si>
    <t>2.  Please complete the contact information in full.</t>
  </si>
  <si>
    <t>Reference Guidelines:</t>
  </si>
  <si>
    <t>4.  Give each reference a reference form (wouldn't hurt to supply them with a stamped, addressed envelope)</t>
  </si>
  <si>
    <t>Character Reference</t>
  </si>
  <si>
    <t>Dates living here</t>
  </si>
  <si>
    <t>Full Name</t>
  </si>
  <si>
    <t>Employer Reference</t>
  </si>
  <si>
    <t>Social Security #  _______--_____--_________</t>
  </si>
  <si>
    <t>Gender________</t>
  </si>
  <si>
    <t>Current Address</t>
  </si>
  <si>
    <t>SUPERIOR</t>
  </si>
  <si>
    <t>ABOVE AVERAGE</t>
  </si>
  <si>
    <t>AVERAGE</t>
  </si>
  <si>
    <t>WEAK</t>
  </si>
  <si>
    <t>NO BASIS</t>
  </si>
  <si>
    <t>CATEGORIES</t>
  </si>
  <si>
    <t>Poise &amp; Confidence</t>
  </si>
  <si>
    <t>Dependability</t>
  </si>
  <si>
    <t>Cooperation</t>
  </si>
  <si>
    <t>Leadership</t>
  </si>
  <si>
    <t>Initiative &amp; Resourcefulness</t>
  </si>
  <si>
    <t>Judgment</t>
  </si>
  <si>
    <t>Command of English Language</t>
  </si>
  <si>
    <t>Reaction to Pressure</t>
  </si>
  <si>
    <t>Attendance/Punctuality</t>
  </si>
  <si>
    <t>Work Ethic/Attitude Toward Work</t>
  </si>
  <si>
    <t>Ability to Manage Groups</t>
  </si>
  <si>
    <t>Limitations:</t>
  </si>
  <si>
    <t>Degree of supervision needed:</t>
  </si>
  <si>
    <t>EDUCATION</t>
  </si>
  <si>
    <t>WORK EXPERIENCE</t>
  </si>
  <si>
    <t>Position</t>
  </si>
  <si>
    <t>Employer</t>
  </si>
  <si>
    <t>Supervisors Name and Phone #</t>
  </si>
  <si>
    <t xml:space="preserve">   Dates Employed</t>
  </si>
  <si>
    <t>yes</t>
  </si>
  <si>
    <t>no</t>
  </si>
  <si>
    <t>___ CPR</t>
  </si>
  <si>
    <t>___ EMT</t>
  </si>
  <si>
    <t>___ LPN</t>
  </si>
  <si>
    <t>___ RN</t>
  </si>
  <si>
    <t>___ First Aid</t>
  </si>
  <si>
    <t>___ Lifeguard</t>
  </si>
  <si>
    <t>___ Wilderness First Aid</t>
  </si>
  <si>
    <t>___ Other: __________________</t>
  </si>
  <si>
    <t xml:space="preserve">List any experience or training you have had that may qualify you to lead activities or have prepared you for </t>
  </si>
  <si>
    <t>___ Counselor</t>
  </si>
  <si>
    <t>___ Life Guard</t>
  </si>
  <si>
    <t>___ Cook</t>
  </si>
  <si>
    <t>___ Nurse</t>
  </si>
  <si>
    <t xml:space="preserve">___ Maintenance </t>
  </si>
  <si>
    <t>___ Craft Director</t>
  </si>
  <si>
    <t>___ Song and Worship Director</t>
  </si>
  <si>
    <t>___ Recreation Leadership (camp games, rec. hour)</t>
  </si>
  <si>
    <t>1. Reflect on your spiritual journey thus far.</t>
  </si>
  <si>
    <t>Emotional Balance</t>
  </si>
  <si>
    <t xml:space="preserve">Identify candidate's greatest strengths for the position:  </t>
  </si>
  <si>
    <t>Open Response Questions</t>
  </si>
  <si>
    <t>Additional comments on above categories:</t>
  </si>
  <si>
    <t>Ability to Set Priorities/Organization</t>
  </si>
  <si>
    <t>Capacity to Take on Responsibility</t>
  </si>
  <si>
    <t>Additional Comments/Summary:</t>
  </si>
  <si>
    <r>
      <t xml:space="preserve">Would you want this person to be a role model for your child or sibling?          </t>
    </r>
    <r>
      <rPr>
        <b/>
        <sz val="12"/>
        <rFont val="Arial"/>
        <family val="2"/>
      </rPr>
      <t>Yes           No</t>
    </r>
    <r>
      <rPr>
        <sz val="12"/>
        <rFont val="Arial"/>
        <family val="2"/>
      </rPr>
      <t xml:space="preserve">           Why?</t>
    </r>
  </si>
  <si>
    <t>If yes, please explain.</t>
  </si>
  <si>
    <t>If yes, please explain:</t>
  </si>
  <si>
    <t>On a separate sheet of paper answer these questions briefly:</t>
  </si>
  <si>
    <t>Reference form for:</t>
  </si>
  <si>
    <r>
      <t xml:space="preserve">More Information </t>
    </r>
    <r>
      <rPr>
        <sz val="8"/>
        <rFont val="Arial"/>
        <family val="2"/>
      </rPr>
      <t>(explanations and answers should be submitted on another sheet of paper)</t>
    </r>
  </si>
  <si>
    <t xml:space="preserve">Working/volunteering at Bethany Birches Camp is physically and emotionally challenging, requiring good health and </t>
  </si>
  <si>
    <r>
      <t xml:space="preserve">much energy.  Do you have any conditions that prohibit you from serving fully in this setting?     </t>
    </r>
    <r>
      <rPr>
        <b/>
        <sz val="10"/>
        <rFont val="Arial"/>
        <family val="2"/>
      </rPr>
      <t>yes     no</t>
    </r>
  </si>
  <si>
    <t>3. Working at Bethany Birches Camp means living in community, sacrificing private space and time, serving God in all</t>
  </si>
  <si>
    <t>you do.  Can you commit yourself to these things for an 8 week period?  Elaborate on why you feel able to do this.</t>
  </si>
  <si>
    <t>Signature ______________________________________________     Date ____________________</t>
  </si>
  <si>
    <t>APPLICATION FOR EMPLOYMENT AND SERVICE</t>
  </si>
  <si>
    <r>
      <t xml:space="preserve">All things considered, would you recommend this person for a position at a Christian Camp?          </t>
    </r>
    <r>
      <rPr>
        <b/>
        <sz val="12"/>
        <rFont val="Arial"/>
        <family val="2"/>
      </rPr>
      <t>Yes          No</t>
    </r>
  </si>
  <si>
    <t>Last Date Available:_________________________</t>
  </si>
  <si>
    <t>List any dates during the above that you will need to be gone: ________________________________________________</t>
  </si>
  <si>
    <t>How long and in what capacity have you known the applicant (nature of your relationship; employer, pastor, friend etc.)?</t>
  </si>
  <si>
    <t>more questions on back</t>
  </si>
  <si>
    <t>commitment to church?</t>
  </si>
  <si>
    <t>PERSONALITY</t>
  </si>
  <si>
    <t>FAITH</t>
  </si>
  <si>
    <t>WORK HABITS</t>
  </si>
  <si>
    <t>Signature  _____________________________________________      Date_____________________________</t>
  </si>
  <si>
    <t>Your Name ____________________________________________     Telephone Number  _________________</t>
  </si>
  <si>
    <t>Thank you for your time.  We take our ministry and work with children very seriously and it is important that our staff be appropriate Christian models.</t>
  </si>
  <si>
    <r>
      <t xml:space="preserve">Permanent Address </t>
    </r>
    <r>
      <rPr>
        <sz val="10"/>
        <rFont val="Arial"/>
        <family val="2"/>
      </rPr>
      <t>(if different than current)</t>
    </r>
  </si>
  <si>
    <r>
      <t xml:space="preserve">Pastoral Reference </t>
    </r>
    <r>
      <rPr>
        <sz val="10"/>
        <rFont val="Arial"/>
        <family val="2"/>
      </rPr>
      <t>(If you don't have a pastor, use a teacher)</t>
    </r>
  </si>
  <si>
    <t>If yes, specify conviction, date and location of conviction.</t>
  </si>
  <si>
    <r>
      <t xml:space="preserve">Have you ever been convicted of a felony or misdemeanor, or pleaded no contest in a felony?     </t>
    </r>
    <r>
      <rPr>
        <b/>
        <sz val="10"/>
        <rFont val="Arial"/>
        <family val="2"/>
      </rPr>
      <t>yes     no</t>
    </r>
    <r>
      <rPr>
        <sz val="10"/>
        <rFont val="Arial"/>
        <family val="2"/>
      </rPr>
      <t xml:space="preserve">       </t>
    </r>
  </si>
  <si>
    <r>
      <t xml:space="preserve">Have you ever been accused or convicted of physically, emotionally or sexually molesting/abusing a child?    </t>
    </r>
    <r>
      <rPr>
        <b/>
        <sz val="10"/>
        <rFont val="Arial"/>
        <family val="2"/>
      </rPr>
      <t xml:space="preserve"> yes        no</t>
    </r>
  </si>
  <si>
    <t>First Date Available for Work:_______________________</t>
  </si>
  <si>
    <t>Dates Living Here</t>
  </si>
  <si>
    <t>Are you offering your services for (check one):     Employment/Wages_____     OR    Voluntary Service_____</t>
  </si>
  <si>
    <t>3.  Do not use peers and immediate family members as references.</t>
  </si>
  <si>
    <t>Relation to You</t>
  </si>
  <si>
    <t>Current Class Level _____________________  Area of Interest/Major  __________________________</t>
  </si>
  <si>
    <t>High School Attended  ____________________________________  Year of Graduation/G.E.D._________</t>
  </si>
  <si>
    <t>University/College Attended  _______________________________ Year of Graduation ___________</t>
  </si>
  <si>
    <t xml:space="preserve">   May we Contact?</t>
  </si>
  <si>
    <r>
      <t xml:space="preserve">CERTIFICATIONS AND QUALIFICATIONS </t>
    </r>
    <r>
      <rPr>
        <sz val="8"/>
        <rFont val="Arial"/>
        <family val="2"/>
      </rPr>
      <t>(check certifications acquired and positions interested in)</t>
    </r>
  </si>
  <si>
    <t xml:space="preserve">Please fill out the following information regarding this applicant and his/her capacity to serve at </t>
  </si>
  <si>
    <t>applicants character traits.  Also respond to the questions below.  We very much appreciate your help and honesty.</t>
  </si>
  <si>
    <t>Bethany Birches Camp in the role listed.  In the boxes below please check the rating that best describes the</t>
  </si>
  <si>
    <t>Receives Constructive Criticism, is Teachable</t>
  </si>
  <si>
    <t>Interpersonal Relationship Skills</t>
  </si>
  <si>
    <r>
      <t xml:space="preserve">If this person worked for you, would you rehire him/her (circle one)?          </t>
    </r>
    <r>
      <rPr>
        <b/>
        <sz val="12"/>
        <rFont val="Arial"/>
        <family val="2"/>
      </rPr>
      <t>Yes          No</t>
    </r>
  </si>
  <si>
    <t>tight-knit community setting under stressful circumstances.</t>
  </si>
  <si>
    <t xml:space="preserve">How would you describe the applicant's personality?  Please specifically address his/her ability to work in a </t>
  </si>
  <si>
    <t xml:space="preserve">What is your understanding of this person's maturity in his/her Christian life, his/her present faith in Christ and his/her </t>
  </si>
  <si>
    <t>STRENGTHS/WEAKNESSES</t>
  </si>
  <si>
    <r>
      <t>Statement of truth</t>
    </r>
    <r>
      <rPr>
        <sz val="8"/>
        <rFont val="Arial"/>
        <family val="2"/>
      </rPr>
      <t xml:space="preserve">: I certify that all information listed on this document is true and correct to the best of my knowledge.  If I have falsified </t>
    </r>
  </si>
  <si>
    <t>Applicant_______________________________           Position ________________________________</t>
  </si>
  <si>
    <t xml:space="preserve">2610 Lynds Hill Road, Plymouth VT, 05056  802.672.5220  bbc@vermontel.net  www.vtchildrenscamp.com </t>
  </si>
  <si>
    <t>Bethany Birches Camp</t>
  </si>
  <si>
    <t>___ Program Specialiste</t>
  </si>
  <si>
    <t>___ Digital Media Specialiste</t>
  </si>
  <si>
    <r>
      <t xml:space="preserve">Do you play a musical instrument?     </t>
    </r>
    <r>
      <rPr>
        <b/>
        <sz val="10"/>
        <rFont val="Arial"/>
        <family val="2"/>
      </rPr>
      <t>yes     no</t>
    </r>
    <r>
      <rPr>
        <sz val="10"/>
        <rFont val="Arial"/>
        <family val="0"/>
      </rPr>
      <t xml:space="preserve">     Instrument(s): _______________________</t>
    </r>
  </si>
  <si>
    <t>List any experience or training you have had that may qualify you to run our kitchen or help prepare food</t>
  </si>
  <si>
    <t>and other experience that will be relevant to camping (activity leadership, first adi and other certifications).</t>
  </si>
  <si>
    <t>Are there positions/capacities you're interested in other than kitchen?</t>
  </si>
  <si>
    <t>___ Internship (17 year-olds)</t>
  </si>
  <si>
    <r>
      <t xml:space="preserve">Do you plan to live at camp for the summer?       </t>
    </r>
    <r>
      <rPr>
        <sz val="8"/>
        <rFont val="Arial"/>
        <family val="2"/>
      </rPr>
      <t>yes     no</t>
    </r>
  </si>
  <si>
    <t>4. Our sole focus for summer camp is to live as Jesus Christ taught many years ago and help others understand</t>
  </si>
  <si>
    <t>why this is important.  How do you envision contributinng to that work of modeling Christ from the kitchen?</t>
  </si>
  <si>
    <t>The questions below pertain primarily to those within program.  Positions in the kitchen do not require you to respond to these questions.</t>
  </si>
  <si>
    <t>However, if you are a spiritual and or religious person, please respond.</t>
  </si>
  <si>
    <t>Name</t>
  </si>
  <si>
    <t>outdoor ministry ( ex. rock climbing, canoeing etc. - music, crafts, biblical training, education, previous camp experience)</t>
  </si>
  <si>
    <t>___ Assistant/Co-counselor</t>
  </si>
  <si>
    <t>___ Internship</t>
  </si>
  <si>
    <t>___ Camp Shepherd</t>
  </si>
  <si>
    <t>___ Video Producer</t>
  </si>
  <si>
    <t>Positions Available</t>
  </si>
  <si>
    <r>
      <rPr>
        <b/>
        <sz val="10"/>
        <rFont val="Arial"/>
        <family val="2"/>
      </rPr>
      <t>Other Specific Camp Duties</t>
    </r>
    <r>
      <rPr>
        <sz val="10"/>
        <rFont val="Arial"/>
        <family val="0"/>
      </rPr>
      <t>: (list primary interests, some positions can be combined)</t>
    </r>
  </si>
  <si>
    <t>Visit www.bethanybirches.org for job descriptions.</t>
  </si>
  <si>
    <t>___ Internship Leader</t>
  </si>
  <si>
    <t>2. Why do you want to work with youth?</t>
  </si>
  <si>
    <t>3. Describe experience you have working with children ages 6-18.</t>
  </si>
  <si>
    <t xml:space="preserve">4. Working at Bethany Birches Camp means living in community, sacrificing private space and time, ALWAYS being </t>
  </si>
  <si>
    <t xml:space="preserve">responsible for campers and serving God in all you do.  Can you commit yourself to these things for an 8 week period?  </t>
  </si>
  <si>
    <t>Elaborate on why you feel able to do this.</t>
  </si>
  <si>
    <t>5. Our sole focus for summer camp is to live as Jesus the man and Christ our Lord taught many years ago and help campers</t>
  </si>
  <si>
    <t>develop their relationship with God.  Can you commit yourself to Kingdom Building and teaching the truth in love, even to</t>
  </si>
  <si>
    <t>young kids, some who don't know where to start?  Again, elaborate on why or how you feel able to make this commitment.</t>
  </si>
  <si>
    <t>Ability to Work With Children</t>
  </si>
  <si>
    <t>2. Describe your cooking and or kitchen administration experiences.</t>
  </si>
  <si>
    <t>___Mechanical Certs</t>
  </si>
  <si>
    <t>___Trade Certs</t>
  </si>
  <si>
    <t>List any experience or training you have had that may qualify you to oversee our facilities physical needs.</t>
  </si>
  <si>
    <t>Any training, education or apprenticeship experiences will be helpful too.</t>
  </si>
  <si>
    <t>Are there positions/capacities you're interested in other than maintenance?</t>
  </si>
  <si>
    <t>The questions below pertain primarily to those within program.  Positions in maintenance do not require you to respond to these questions.</t>
  </si>
  <si>
    <t>2. Working at Bethany Birches Camp means living in community, sacrificing private space and time, serving God in all</t>
  </si>
  <si>
    <t>3. Our sole focus for summer camp is to live as Jesus Christ taught many years ago and help others understand</t>
  </si>
  <si>
    <t>4. Are there ways you can envision contributing to our mission from the position of maintenance manager?</t>
  </si>
  <si>
    <r>
      <t xml:space="preserve">The applicant waive his/her privilege to view the completed reference form     ___ YES   ___ NO </t>
    </r>
    <r>
      <rPr>
        <b/>
        <sz val="12"/>
        <rFont val="Arial"/>
        <family val="2"/>
      </rPr>
      <t>(applicant choose)</t>
    </r>
  </si>
  <si>
    <t>Also list training you've had with digital media and especially video production.</t>
  </si>
  <si>
    <t>outdoor ministry ( ex. rock climbing, canoeing etc. - music, crafts, biblical training, education, previous camp experience).</t>
  </si>
  <si>
    <t>2. What about working with video is exciting for you?</t>
  </si>
  <si>
    <t>5. Describe experience you have working with video.</t>
  </si>
  <si>
    <t>6. The turnaround time for our videos is short.  You'll have 5 days for taping and editing.  The sixth day is primarily used</t>
  </si>
  <si>
    <t>for production.  Why do you think you will be able to make a 25 minute video that covers each day of camp within this</t>
  </si>
  <si>
    <t>tight timeframe?</t>
  </si>
  <si>
    <t>7. Do you have a vision for what the Bethany Birches summer videos can be?  If so, what is that vision?</t>
  </si>
  <si>
    <t>Examples of your Work</t>
  </si>
  <si>
    <t>Please do one of the following:</t>
  </si>
  <si>
    <t>1. Post at least two separate videos you've made online</t>
  </si>
  <si>
    <t>and send the link to the videos to brandon@bethanybirches.org</t>
  </si>
  <si>
    <t>Videos should be 3 to 5 minutes.</t>
  </si>
  <si>
    <t>2. Create a DVD video with menus that can be viewed in a</t>
  </si>
  <si>
    <t>standard DVD player and mail to:</t>
  </si>
  <si>
    <t>Brandon Bergey</t>
  </si>
  <si>
    <t>Address below:</t>
  </si>
  <si>
    <t>OR</t>
  </si>
  <si>
    <t>Birth Date_______________</t>
  </si>
  <si>
    <t>Tshirt size _______</t>
  </si>
  <si>
    <t>Birth Date________________</t>
  </si>
  <si>
    <t>Bethany Birches Camp (BBC)</t>
  </si>
  <si>
    <t>I give permission to BBC to perform a Criminal Background Check  __ yes  __ no</t>
  </si>
  <si>
    <t>I give permission to BBC to perform a sex offender registry check   __ yes  __ no</t>
  </si>
  <si>
    <t>I waive my right to view my reference forms                                   __ yes  __ no</t>
  </si>
  <si>
    <t xml:space="preserve">anything I may be required to resign from employment at Bethany Birches Camp.  </t>
  </si>
  <si>
    <t xml:space="preserve">2610 Lynds Hill Road, Plymouth VT, 05056  802.672.5220  camp@bethanybirches.org www.bethanybirches.org </t>
  </si>
  <si>
    <t>AAAAAFpve84=</t>
  </si>
  <si>
    <t xml:space="preserve">2610 Lynds Hill Road, Plymouth VT, 05056      802.672.5220     camp@bethanybirches.org     www.bethanybirches.org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</si>
</sst>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45</xdr:row>
      <xdr:rowOff>9525</xdr:rowOff>
    </xdr:from>
    <xdr:to>
      <xdr:col>10</xdr:col>
      <xdr:colOff>219075</xdr:colOff>
      <xdr:row>55</xdr:row>
      <xdr:rowOff>57150</xdr:rowOff>
    </xdr:to>
    <xdr:pic>
      <xdr:nvPicPr>
        <xdr:cNvPr id="1" name="Picture 1" descr="BBC tentative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7486650"/>
          <a:ext cx="19907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45</xdr:row>
      <xdr:rowOff>9525</xdr:rowOff>
    </xdr:from>
    <xdr:to>
      <xdr:col>10</xdr:col>
      <xdr:colOff>228600</xdr:colOff>
      <xdr:row>55</xdr:row>
      <xdr:rowOff>57150</xdr:rowOff>
    </xdr:to>
    <xdr:pic>
      <xdr:nvPicPr>
        <xdr:cNvPr id="1" name="Picture 1" descr="BBC tentative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7486650"/>
          <a:ext cx="2000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19050</xdr:rowOff>
    </xdr:from>
    <xdr:to>
      <xdr:col>10</xdr:col>
      <xdr:colOff>619125</xdr:colOff>
      <xdr:row>10</xdr:row>
      <xdr:rowOff>66675</xdr:rowOff>
    </xdr:to>
    <xdr:pic>
      <xdr:nvPicPr>
        <xdr:cNvPr id="1" name="Picture 1" descr="BBC tentative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228600"/>
          <a:ext cx="1819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19050</xdr:rowOff>
    </xdr:from>
    <xdr:to>
      <xdr:col>10</xdr:col>
      <xdr:colOff>619125</xdr:colOff>
      <xdr:row>10</xdr:row>
      <xdr:rowOff>66675</xdr:rowOff>
    </xdr:to>
    <xdr:pic>
      <xdr:nvPicPr>
        <xdr:cNvPr id="1" name="Picture 1" descr="BBC tentative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228600"/>
          <a:ext cx="1819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0</xdr:rowOff>
    </xdr:from>
    <xdr:to>
      <xdr:col>5</xdr:col>
      <xdr:colOff>742950</xdr:colOff>
      <xdr:row>5</xdr:row>
      <xdr:rowOff>114300</xdr:rowOff>
    </xdr:to>
    <xdr:pic>
      <xdr:nvPicPr>
        <xdr:cNvPr id="1" name="Picture 1" descr="BBC tentative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0"/>
          <a:ext cx="1438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0</xdr:rowOff>
    </xdr:from>
    <xdr:to>
      <xdr:col>5</xdr:col>
      <xdr:colOff>742950</xdr:colOff>
      <xdr:row>5</xdr:row>
      <xdr:rowOff>114300</xdr:rowOff>
    </xdr:to>
    <xdr:pic>
      <xdr:nvPicPr>
        <xdr:cNvPr id="1" name="Picture 1" descr="BBC tentative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0"/>
          <a:ext cx="1438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2"/>
  <sheetViews>
    <sheetView view="pageBreakPreview" zoomScaleSheetLayoutView="100" zoomScalePageLayoutView="0" workbookViewId="0" topLeftCell="A1">
      <selection activeCell="A113" sqref="A113:I122"/>
    </sheetView>
  </sheetViews>
  <sheetFormatPr defaultColWidth="9.140625" defaultRowHeight="12.75"/>
  <cols>
    <col min="11" max="11" width="10.140625" style="0" customWidth="1"/>
  </cols>
  <sheetData>
    <row r="1" ht="18">
      <c r="A1" s="33" t="s">
        <v>121</v>
      </c>
    </row>
    <row r="2" ht="12.75">
      <c r="A2" s="42" t="s">
        <v>192</v>
      </c>
    </row>
    <row r="4" ht="16.5">
      <c r="F4" s="9" t="s">
        <v>80</v>
      </c>
    </row>
    <row r="6" ht="15">
      <c r="A6" s="8" t="s">
        <v>4</v>
      </c>
    </row>
    <row r="8" spans="1:13" ht="13.5">
      <c r="A8" s="7" t="s">
        <v>16</v>
      </c>
      <c r="F8" s="2"/>
      <c r="G8" s="7" t="s">
        <v>93</v>
      </c>
      <c r="K8" s="5"/>
      <c r="L8" s="6"/>
      <c r="M8" s="6"/>
    </row>
    <row r="9" spans="1:13" ht="12.75">
      <c r="A9" s="2"/>
      <c r="F9" s="2"/>
      <c r="G9" s="2"/>
      <c r="K9" s="5"/>
      <c r="L9" s="6"/>
      <c r="M9" s="6"/>
    </row>
    <row r="10" spans="1:14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6"/>
      <c r="M10" s="6"/>
      <c r="N10" s="6"/>
    </row>
    <row r="11" spans="1:14" ht="12.75">
      <c r="A11" s="28" t="s">
        <v>0</v>
      </c>
      <c r="B11" s="28"/>
      <c r="C11" s="28"/>
      <c r="D11" s="3"/>
      <c r="E11" s="3"/>
      <c r="F11" s="3"/>
      <c r="G11" s="28" t="s">
        <v>0</v>
      </c>
      <c r="H11" s="28"/>
      <c r="I11" s="28"/>
      <c r="J11" s="3"/>
      <c r="K11" s="28"/>
      <c r="L11" s="6"/>
      <c r="M11" s="6"/>
      <c r="N11" s="6"/>
    </row>
    <row r="12" spans="1:14" ht="12.75">
      <c r="A12" s="13"/>
      <c r="B12" s="13"/>
      <c r="C12" s="13"/>
      <c r="D12" s="13"/>
      <c r="E12" s="13"/>
      <c r="F12" s="3"/>
      <c r="G12" s="13"/>
      <c r="H12" s="13"/>
      <c r="I12" s="13"/>
      <c r="J12" s="13"/>
      <c r="K12" s="13"/>
      <c r="L12" s="6"/>
      <c r="M12" s="6"/>
      <c r="N12" s="6"/>
    </row>
    <row r="13" spans="1:14" ht="12.75">
      <c r="A13" s="3" t="s">
        <v>3</v>
      </c>
      <c r="B13" s="3"/>
      <c r="C13" s="3"/>
      <c r="D13" s="3"/>
      <c r="E13" s="3"/>
      <c r="F13" s="3"/>
      <c r="G13" s="3" t="s">
        <v>3</v>
      </c>
      <c r="H13" s="3"/>
      <c r="I13" s="3"/>
      <c r="J13" s="3"/>
      <c r="K13" s="28"/>
      <c r="L13" s="5"/>
      <c r="M13" s="5"/>
      <c r="N13" s="6"/>
    </row>
    <row r="14" spans="1:14" ht="12.75">
      <c r="A14" s="13"/>
      <c r="B14" s="13"/>
      <c r="C14" s="13"/>
      <c r="D14" s="13"/>
      <c r="E14" s="13"/>
      <c r="F14" s="3"/>
      <c r="G14" s="13"/>
      <c r="H14" s="13"/>
      <c r="I14" s="13"/>
      <c r="J14" s="13"/>
      <c r="K14" s="13"/>
      <c r="L14" s="6"/>
      <c r="M14" s="6"/>
      <c r="N14" s="6"/>
    </row>
    <row r="15" spans="1:14" ht="12.75">
      <c r="A15" s="3" t="s">
        <v>1</v>
      </c>
      <c r="B15" s="3"/>
      <c r="C15" s="3" t="s">
        <v>2</v>
      </c>
      <c r="D15" s="3"/>
      <c r="E15" s="3"/>
      <c r="F15" s="3"/>
      <c r="G15" s="3" t="s">
        <v>1</v>
      </c>
      <c r="H15" s="3"/>
      <c r="I15" s="3" t="s">
        <v>2</v>
      </c>
      <c r="J15" s="3"/>
      <c r="K15" s="28"/>
      <c r="L15" s="6"/>
      <c r="M15" s="6"/>
      <c r="N15" s="6"/>
    </row>
    <row r="16" spans="1:14" ht="12.75">
      <c r="A16" s="13"/>
      <c r="B16" s="13"/>
      <c r="C16" s="13"/>
      <c r="D16" s="13"/>
      <c r="E16" s="13"/>
      <c r="F16" s="3"/>
      <c r="G16" s="13"/>
      <c r="H16" s="13"/>
      <c r="I16" s="13"/>
      <c r="J16" s="13"/>
      <c r="K16" s="13"/>
      <c r="L16" s="6"/>
      <c r="M16" s="6"/>
      <c r="N16" s="6"/>
    </row>
    <row r="17" spans="1:14" ht="12.75">
      <c r="A17" s="3" t="s">
        <v>99</v>
      </c>
      <c r="B17" s="3"/>
      <c r="C17" s="3"/>
      <c r="D17" s="3"/>
      <c r="E17" s="3"/>
      <c r="F17" s="3"/>
      <c r="G17" s="3" t="s">
        <v>11</v>
      </c>
      <c r="H17" s="3"/>
      <c r="I17" s="3"/>
      <c r="J17" s="3"/>
      <c r="K17" s="28"/>
      <c r="L17" s="6"/>
      <c r="M17" s="6"/>
      <c r="N17" s="6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28"/>
      <c r="L18" s="6"/>
      <c r="M18" s="6"/>
      <c r="N18" s="6"/>
    </row>
    <row r="19" spans="1:11" ht="12.75">
      <c r="A19" s="36" t="s">
        <v>14</v>
      </c>
      <c r="B19" s="28"/>
      <c r="C19" s="28"/>
      <c r="D19" s="28"/>
      <c r="E19" s="28" t="s">
        <v>15</v>
      </c>
      <c r="F19" s="28"/>
      <c r="G19" s="6" t="s">
        <v>182</v>
      </c>
      <c r="H19" s="28"/>
      <c r="I19" s="28"/>
      <c r="J19" t="s">
        <v>183</v>
      </c>
      <c r="K19" s="3"/>
    </row>
    <row r="20" spans="1:11" ht="12.75">
      <c r="A20" s="28"/>
      <c r="B20" s="28"/>
      <c r="C20" s="28"/>
      <c r="D20" s="28"/>
      <c r="E20" s="28"/>
      <c r="F20" s="28"/>
      <c r="G20" s="28"/>
      <c r="H20" s="28"/>
      <c r="I20" s="28"/>
      <c r="J20" s="3"/>
      <c r="K20" s="3"/>
    </row>
    <row r="21" spans="1:11" ht="12.75">
      <c r="A21" s="3" t="s">
        <v>98</v>
      </c>
      <c r="B21" s="3"/>
      <c r="C21" s="28"/>
      <c r="D21" s="28"/>
      <c r="E21" s="3"/>
      <c r="F21" s="3"/>
      <c r="G21" s="3" t="s">
        <v>82</v>
      </c>
      <c r="H21" s="28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 t="s">
        <v>83</v>
      </c>
      <c r="B23" s="3"/>
      <c r="C23" s="3"/>
      <c r="D23" s="3"/>
      <c r="E23" s="3"/>
      <c r="F23" s="28"/>
      <c r="G23" s="28"/>
      <c r="H23" s="28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 t="s">
        <v>100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7" spans="1:3" ht="15">
      <c r="A27" s="8" t="s">
        <v>5</v>
      </c>
      <c r="B27" s="1"/>
      <c r="C27" s="1"/>
    </row>
    <row r="29" ht="12.75">
      <c r="A29" t="s">
        <v>8</v>
      </c>
    </row>
    <row r="30" ht="12.75">
      <c r="A30" t="s">
        <v>6</v>
      </c>
    </row>
    <row r="31" ht="12.75">
      <c r="A31" t="s">
        <v>7</v>
      </c>
    </row>
    <row r="32" ht="12.75">
      <c r="A32" t="s">
        <v>101</v>
      </c>
    </row>
    <row r="33" ht="12.75">
      <c r="A33" t="s">
        <v>9</v>
      </c>
    </row>
    <row r="35" spans="1:7" ht="13.5">
      <c r="A35" s="7" t="s">
        <v>10</v>
      </c>
      <c r="G35" s="7" t="s">
        <v>13</v>
      </c>
    </row>
    <row r="37" spans="1:11" ht="12.75">
      <c r="A37" s="13"/>
      <c r="B37" s="13"/>
      <c r="C37" s="13"/>
      <c r="D37" s="13"/>
      <c r="E37" s="13"/>
      <c r="F37" s="28"/>
      <c r="G37" s="13"/>
      <c r="H37" s="13"/>
      <c r="I37" s="13"/>
      <c r="J37" s="13"/>
      <c r="K37" s="13"/>
    </row>
    <row r="38" spans="1:11" ht="12.75">
      <c r="A38" s="3" t="s">
        <v>12</v>
      </c>
      <c r="B38" s="3"/>
      <c r="C38" s="3" t="s">
        <v>102</v>
      </c>
      <c r="D38" s="3"/>
      <c r="E38" s="3"/>
      <c r="F38" s="3"/>
      <c r="G38" s="3" t="s">
        <v>12</v>
      </c>
      <c r="H38" s="3"/>
      <c r="I38" s="3" t="s">
        <v>102</v>
      </c>
      <c r="J38" s="3"/>
      <c r="K38" s="3"/>
    </row>
    <row r="39" spans="1:11" ht="12.75">
      <c r="A39" s="13"/>
      <c r="B39" s="13"/>
      <c r="C39" s="13"/>
      <c r="D39" s="13"/>
      <c r="E39" s="13"/>
      <c r="F39" s="3"/>
      <c r="G39" s="13"/>
      <c r="H39" s="13"/>
      <c r="I39" s="13"/>
      <c r="J39" s="13"/>
      <c r="K39" s="13"/>
    </row>
    <row r="40" spans="1:11" ht="12.75">
      <c r="A40" s="3" t="s">
        <v>0</v>
      </c>
      <c r="B40" s="3"/>
      <c r="C40" s="3"/>
      <c r="D40" s="3"/>
      <c r="E40" s="3"/>
      <c r="F40" s="3"/>
      <c r="G40" s="3" t="s">
        <v>0</v>
      </c>
      <c r="H40" s="3"/>
      <c r="I40" s="3"/>
      <c r="J40" s="3"/>
      <c r="K40" s="3"/>
    </row>
    <row r="41" spans="1:11" ht="12.75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</row>
    <row r="42" spans="1:11" ht="12.75">
      <c r="A42" s="3" t="s">
        <v>3</v>
      </c>
      <c r="B42" s="3"/>
      <c r="C42" s="3"/>
      <c r="D42" s="3"/>
      <c r="E42" s="3"/>
      <c r="F42" s="3"/>
      <c r="G42" s="3" t="s">
        <v>3</v>
      </c>
      <c r="H42" s="3"/>
      <c r="I42" s="3"/>
      <c r="J42" s="3"/>
      <c r="K42" s="3"/>
    </row>
    <row r="43" spans="1:11" ht="12.75">
      <c r="A43" s="13"/>
      <c r="B43" s="13"/>
      <c r="C43" s="13"/>
      <c r="D43" s="13"/>
      <c r="E43" s="13"/>
      <c r="F43" s="3"/>
      <c r="G43" s="13"/>
      <c r="H43" s="13"/>
      <c r="I43" s="13"/>
      <c r="J43" s="13"/>
      <c r="K43" s="13"/>
    </row>
    <row r="44" spans="1:11" ht="12.75">
      <c r="A44" s="3" t="s">
        <v>1</v>
      </c>
      <c r="B44" s="3"/>
      <c r="C44" s="3" t="s">
        <v>2</v>
      </c>
      <c r="D44" s="3"/>
      <c r="E44" s="3"/>
      <c r="F44" s="3"/>
      <c r="G44" s="3" t="s">
        <v>1</v>
      </c>
      <c r="H44" s="3"/>
      <c r="I44" s="3" t="s">
        <v>2</v>
      </c>
      <c r="J44" s="3"/>
      <c r="K44" s="3"/>
    </row>
    <row r="46" ht="15">
      <c r="A46" s="7" t="s">
        <v>94</v>
      </c>
    </row>
    <row r="48" spans="1:6" ht="12.75">
      <c r="A48" s="13"/>
      <c r="B48" s="13"/>
      <c r="C48" s="13"/>
      <c r="D48" s="13"/>
      <c r="E48" s="13"/>
      <c r="F48" s="3"/>
    </row>
    <row r="49" spans="1:6" ht="12.75">
      <c r="A49" s="3" t="s">
        <v>12</v>
      </c>
      <c r="B49" s="3"/>
      <c r="C49" s="3" t="s">
        <v>102</v>
      </c>
      <c r="D49" s="3"/>
      <c r="E49" s="3"/>
      <c r="F49" s="3"/>
    </row>
    <row r="50" spans="1:6" ht="12.75">
      <c r="A50" s="13"/>
      <c r="B50" s="13"/>
      <c r="C50" s="13"/>
      <c r="D50" s="13"/>
      <c r="E50" s="13"/>
      <c r="F50" s="3"/>
    </row>
    <row r="51" spans="1:6" ht="12.75">
      <c r="A51" s="3" t="s">
        <v>0</v>
      </c>
      <c r="B51" s="3"/>
      <c r="C51" s="3"/>
      <c r="D51" s="3"/>
      <c r="E51" s="3"/>
      <c r="F51" s="3"/>
    </row>
    <row r="52" spans="1:6" ht="12.75">
      <c r="A52" s="13"/>
      <c r="B52" s="13"/>
      <c r="C52" s="13"/>
      <c r="D52" s="13"/>
      <c r="E52" s="13"/>
      <c r="F52" s="3"/>
    </row>
    <row r="53" spans="1:6" ht="12.75">
      <c r="A53" s="3" t="s">
        <v>3</v>
      </c>
      <c r="B53" s="3"/>
      <c r="C53" s="3"/>
      <c r="D53" s="3"/>
      <c r="E53" s="3"/>
      <c r="F53" s="3"/>
    </row>
    <row r="54" spans="1:6" ht="12.75">
      <c r="A54" s="13"/>
      <c r="B54" s="13"/>
      <c r="C54" s="13"/>
      <c r="D54" s="13"/>
      <c r="E54" s="13"/>
      <c r="F54" s="3"/>
    </row>
    <row r="55" spans="1:6" ht="12.75">
      <c r="A55" s="3" t="s">
        <v>1</v>
      </c>
      <c r="B55" s="3"/>
      <c r="C55" s="3" t="s">
        <v>2</v>
      </c>
      <c r="D55" s="3"/>
      <c r="E55" s="3"/>
      <c r="F55" s="3"/>
    </row>
    <row r="56" ht="15.75">
      <c r="A56" s="8" t="s">
        <v>36</v>
      </c>
    </row>
    <row r="58" ht="12.75">
      <c r="A58" t="s">
        <v>105</v>
      </c>
    </row>
    <row r="59" ht="12.75">
      <c r="A59" t="s">
        <v>103</v>
      </c>
    </row>
    <row r="61" ht="12.75">
      <c r="A61" t="s">
        <v>104</v>
      </c>
    </row>
    <row r="63" ht="15">
      <c r="A63" s="8" t="s">
        <v>37</v>
      </c>
    </row>
    <row r="65" spans="1:11" ht="12.75">
      <c r="A65" s="11" t="s">
        <v>38</v>
      </c>
      <c r="B65" s="14"/>
      <c r="C65" s="11" t="s">
        <v>39</v>
      </c>
      <c r="D65" s="14"/>
      <c r="E65" s="4" t="s">
        <v>40</v>
      </c>
      <c r="F65" s="4"/>
      <c r="G65" s="14"/>
      <c r="H65" s="12" t="s">
        <v>41</v>
      </c>
      <c r="I65" s="15"/>
      <c r="J65" s="13" t="s">
        <v>106</v>
      </c>
      <c r="K65" s="4"/>
    </row>
    <row r="66" spans="1:11" ht="12.75">
      <c r="A66" s="25"/>
      <c r="B66" s="30"/>
      <c r="C66" s="25"/>
      <c r="D66" s="17"/>
      <c r="E66" s="6"/>
      <c r="F66" s="6"/>
      <c r="G66" s="17"/>
      <c r="H66" s="26"/>
      <c r="I66" s="27"/>
      <c r="J66" s="28"/>
      <c r="K66" s="6"/>
    </row>
    <row r="67" spans="1:11" ht="12.75">
      <c r="A67" s="4"/>
      <c r="B67" s="14"/>
      <c r="C67" s="4"/>
      <c r="D67" s="14"/>
      <c r="E67" s="4"/>
      <c r="F67" s="4"/>
      <c r="G67" s="14"/>
      <c r="H67" s="4"/>
      <c r="I67" s="14"/>
      <c r="J67" s="29" t="s">
        <v>42</v>
      </c>
      <c r="K67" s="29" t="s">
        <v>43</v>
      </c>
    </row>
    <row r="68" spans="1:11" ht="12.75">
      <c r="A68" s="6"/>
      <c r="B68" s="17"/>
      <c r="C68" s="6"/>
      <c r="D68" s="17"/>
      <c r="E68" s="6"/>
      <c r="F68" s="6"/>
      <c r="G68" s="17"/>
      <c r="H68" s="6"/>
      <c r="I68" s="17"/>
      <c r="J68" s="16"/>
      <c r="K68" s="16"/>
    </row>
    <row r="69" spans="1:11" ht="12.75">
      <c r="A69" s="4"/>
      <c r="B69" s="14"/>
      <c r="C69" s="4"/>
      <c r="D69" s="14"/>
      <c r="E69" s="4"/>
      <c r="F69" s="4"/>
      <c r="G69" s="14"/>
      <c r="H69" s="4"/>
      <c r="I69" s="14"/>
      <c r="J69" s="29" t="s">
        <v>42</v>
      </c>
      <c r="K69" s="29" t="s">
        <v>43</v>
      </c>
    </row>
    <row r="70" spans="1:11" ht="12.75">
      <c r="A70" s="6"/>
      <c r="B70" s="17"/>
      <c r="C70" s="6"/>
      <c r="D70" s="17"/>
      <c r="E70" s="6"/>
      <c r="F70" s="6"/>
      <c r="G70" s="17"/>
      <c r="H70" s="6"/>
      <c r="I70" s="17"/>
      <c r="J70" s="16"/>
      <c r="K70" s="16"/>
    </row>
    <row r="71" spans="1:11" ht="12.75">
      <c r="A71" s="4"/>
      <c r="B71" s="14"/>
      <c r="C71" s="4"/>
      <c r="D71" s="14"/>
      <c r="E71" s="4"/>
      <c r="F71" s="4"/>
      <c r="G71" s="14"/>
      <c r="H71" s="4"/>
      <c r="I71" s="14"/>
      <c r="J71" s="29" t="s">
        <v>42</v>
      </c>
      <c r="K71" s="29" t="s">
        <v>43</v>
      </c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16"/>
      <c r="K72" s="16"/>
    </row>
    <row r="73" spans="1:9" ht="15">
      <c r="A73" s="8" t="s">
        <v>107</v>
      </c>
      <c r="H73" s="10"/>
      <c r="I73" s="10"/>
    </row>
    <row r="74" spans="1:10" ht="12.75">
      <c r="A74" s="3" t="s">
        <v>44</v>
      </c>
      <c r="B74" s="3" t="s">
        <v>48</v>
      </c>
      <c r="C74" s="3"/>
      <c r="D74" t="s">
        <v>154</v>
      </c>
      <c r="E74" s="3"/>
      <c r="F74" s="45" t="s">
        <v>155</v>
      </c>
      <c r="G74" s="3"/>
      <c r="H74" s="3"/>
      <c r="I74" s="3"/>
      <c r="J74" s="3"/>
    </row>
    <row r="75" spans="1:10" ht="12.75">
      <c r="A75" s="3" t="s">
        <v>51</v>
      </c>
      <c r="B75" s="3"/>
      <c r="C75" s="3"/>
      <c r="D75" s="3"/>
      <c r="E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t="s">
        <v>156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t="s">
        <v>157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3" ht="12.75">
      <c r="A83" s="2" t="s">
        <v>158</v>
      </c>
    </row>
    <row r="84" spans="1:10" ht="12.75">
      <c r="A84" s="3" t="s">
        <v>53</v>
      </c>
      <c r="B84" s="3"/>
      <c r="C84" s="3" t="s">
        <v>122</v>
      </c>
      <c r="D84" s="3"/>
      <c r="E84" s="3"/>
      <c r="F84" s="3" t="s">
        <v>59</v>
      </c>
      <c r="G84" s="3"/>
      <c r="H84" s="3"/>
      <c r="I84" s="3"/>
      <c r="J84" s="3"/>
    </row>
    <row r="85" spans="1:10" ht="12.75">
      <c r="A85" s="3" t="s">
        <v>54</v>
      </c>
      <c r="B85" s="3"/>
      <c r="C85" s="3" t="s">
        <v>58</v>
      </c>
      <c r="D85" s="3"/>
      <c r="E85" s="3"/>
      <c r="F85" s="3" t="s">
        <v>60</v>
      </c>
      <c r="G85" s="3"/>
      <c r="H85" s="3"/>
      <c r="I85" s="3"/>
      <c r="J85" s="3"/>
    </row>
    <row r="86" spans="1:10" ht="12.75">
      <c r="A86" s="3" t="s">
        <v>123</v>
      </c>
      <c r="B86" s="3"/>
      <c r="C86" s="3"/>
      <c r="D86" s="3"/>
      <c r="E86" s="3"/>
      <c r="F86" t="s">
        <v>128</v>
      </c>
      <c r="G86" s="3"/>
      <c r="H86" s="3"/>
      <c r="I86" s="3"/>
      <c r="J86" s="3"/>
    </row>
    <row r="87" spans="1:10" ht="12.75">
      <c r="A87" s="3" t="s">
        <v>56</v>
      </c>
      <c r="B87" s="3"/>
      <c r="D87" s="3"/>
      <c r="E87" s="3"/>
      <c r="F87" s="3"/>
      <c r="G87" s="3"/>
      <c r="H87" s="3"/>
      <c r="I87" s="3"/>
      <c r="J87" s="3"/>
    </row>
    <row r="88" spans="1:10" ht="12.75">
      <c r="A88" s="3" t="s">
        <v>57</v>
      </c>
      <c r="B88" s="3"/>
      <c r="C88" t="s">
        <v>124</v>
      </c>
      <c r="D88" s="3"/>
      <c r="E88" s="3"/>
      <c r="F88" s="3"/>
      <c r="G88" s="3"/>
      <c r="H88" s="3"/>
      <c r="I88" s="3"/>
      <c r="J88" s="3"/>
    </row>
    <row r="90" ht="12.75">
      <c r="A90" s="2" t="s">
        <v>74</v>
      </c>
    </row>
    <row r="91" spans="1:11" ht="12.75">
      <c r="A91" s="31" t="s">
        <v>96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2.75">
      <c r="A92" s="31" t="s">
        <v>95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2.75">
      <c r="A94" s="31" t="s">
        <v>97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2.75">
      <c r="A95" s="31" t="s">
        <v>70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2.75">
      <c r="A97" s="31" t="s">
        <v>75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2.75">
      <c r="A98" s="31" t="s">
        <v>76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2.75">
      <c r="A99" s="31" t="s">
        <v>71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2.75">
      <c r="A101" s="43" t="s">
        <v>159</v>
      </c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2.75">
      <c r="A102" s="43"/>
      <c r="B102" s="43" t="s">
        <v>133</v>
      </c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>
      <c r="A103" s="31" t="s">
        <v>72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0" ht="12.75">
      <c r="A104" s="31" t="s">
        <v>61</v>
      </c>
      <c r="B104" s="31"/>
      <c r="C104" s="31"/>
      <c r="D104" s="31"/>
      <c r="F104" s="31"/>
      <c r="G104" s="31"/>
      <c r="H104" s="31"/>
      <c r="I104" s="31"/>
      <c r="J104" s="31"/>
    </row>
    <row r="105" spans="1:10" ht="12.75">
      <c r="A105" s="31" t="s">
        <v>160</v>
      </c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2.75">
      <c r="A106" s="31" t="s">
        <v>78</v>
      </c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2.75">
      <c r="A107" s="31"/>
      <c r="B107" s="31" t="s">
        <v>129</v>
      </c>
      <c r="C107" s="31"/>
      <c r="D107" s="31"/>
      <c r="E107" s="31"/>
      <c r="F107" s="31"/>
      <c r="G107" s="31"/>
      <c r="H107" s="31"/>
      <c r="I107" s="31"/>
      <c r="J107" s="31"/>
    </row>
    <row r="108" spans="1:10" ht="12.75">
      <c r="A108" s="32" t="s">
        <v>161</v>
      </c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2.75">
      <c r="A109" s="31" t="s">
        <v>131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2.75">
      <c r="A110" s="31" t="s">
        <v>162</v>
      </c>
      <c r="I110" s="31"/>
      <c r="J110" s="31"/>
    </row>
    <row r="111" spans="1:10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3" ht="12.75">
      <c r="A113" s="39" t="s">
        <v>118</v>
      </c>
    </row>
    <row r="114" ht="12.75">
      <c r="A114" s="40" t="s">
        <v>189</v>
      </c>
    </row>
    <row r="115" ht="12.75">
      <c r="A115" s="1"/>
    </row>
    <row r="116" ht="12.75">
      <c r="A116" s="40" t="s">
        <v>186</v>
      </c>
    </row>
    <row r="117" ht="12.75">
      <c r="A117" s="40" t="s">
        <v>187</v>
      </c>
    </row>
    <row r="118" spans="1:6" ht="14.25" customHeight="1">
      <c r="A118" s="40" t="s">
        <v>188</v>
      </c>
      <c r="B118" s="33"/>
      <c r="F118" s="1"/>
    </row>
    <row r="119" spans="1:6" ht="18">
      <c r="A119" s="1"/>
      <c r="B119" s="33"/>
      <c r="F119" s="1"/>
    </row>
    <row r="120" ht="12.75">
      <c r="A120" t="s">
        <v>79</v>
      </c>
    </row>
    <row r="121" ht="18">
      <c r="A121" s="33" t="s">
        <v>185</v>
      </c>
    </row>
    <row r="122" ht="12.75">
      <c r="A122" s="41" t="s">
        <v>190</v>
      </c>
    </row>
  </sheetData>
  <sheetProtection/>
  <printOptions/>
  <pageMargins left="0.75" right="0.75" top="1" bottom="1" header="0.5" footer="0.5"/>
  <pageSetup horizontalDpi="600" verticalDpi="600" orientation="portrait" scale="76" r:id="rId2"/>
  <rowBreaks count="1" manualBreakCount="1">
    <brk id="55" max="10" man="1"/>
  </rowBreaks>
  <colBreaks count="1" manualBreakCount="1">
    <brk id="11" max="116" man="1"/>
  </colBreaks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2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sheetData>
    <row r="1" ht="18">
      <c r="A1" s="33" t="s">
        <v>121</v>
      </c>
    </row>
    <row r="2" ht="12.75">
      <c r="A2" s="42" t="s">
        <v>192</v>
      </c>
    </row>
    <row r="4" ht="16.5">
      <c r="F4" s="9" t="s">
        <v>80</v>
      </c>
    </row>
    <row r="6" ht="15">
      <c r="A6" s="8" t="s">
        <v>4</v>
      </c>
    </row>
    <row r="8" spans="1:13" ht="13.5">
      <c r="A8" s="7" t="s">
        <v>16</v>
      </c>
      <c r="F8" s="2"/>
      <c r="G8" s="7" t="s">
        <v>93</v>
      </c>
      <c r="K8" s="5"/>
      <c r="L8" s="6"/>
      <c r="M8" s="6"/>
    </row>
    <row r="9" spans="1:13" ht="12.75">
      <c r="A9" s="2"/>
      <c r="F9" s="2"/>
      <c r="G9" s="2"/>
      <c r="K9" s="5"/>
      <c r="L9" s="6"/>
      <c r="M9" s="6"/>
    </row>
    <row r="10" spans="1:14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6"/>
      <c r="M10" s="6"/>
      <c r="N10" s="6"/>
    </row>
    <row r="11" spans="1:14" ht="12.75">
      <c r="A11" s="28" t="s">
        <v>0</v>
      </c>
      <c r="B11" s="28"/>
      <c r="C11" s="28"/>
      <c r="D11" s="3"/>
      <c r="E11" s="3"/>
      <c r="F11" s="3"/>
      <c r="G11" s="28" t="s">
        <v>0</v>
      </c>
      <c r="H11" s="28"/>
      <c r="I11" s="28"/>
      <c r="J11" s="3"/>
      <c r="K11" s="28"/>
      <c r="L11" s="6"/>
      <c r="M11" s="6"/>
      <c r="N11" s="6"/>
    </row>
    <row r="12" spans="1:14" ht="12.75">
      <c r="A12" s="13"/>
      <c r="B12" s="13"/>
      <c r="C12" s="13"/>
      <c r="D12" s="13"/>
      <c r="E12" s="13"/>
      <c r="F12" s="3"/>
      <c r="G12" s="13"/>
      <c r="H12" s="13"/>
      <c r="I12" s="13"/>
      <c r="J12" s="13"/>
      <c r="K12" s="13"/>
      <c r="L12" s="6"/>
      <c r="M12" s="6"/>
      <c r="N12" s="6"/>
    </row>
    <row r="13" spans="1:14" ht="12.75">
      <c r="A13" s="3" t="s">
        <v>3</v>
      </c>
      <c r="B13" s="3"/>
      <c r="C13" s="3"/>
      <c r="D13" s="3"/>
      <c r="E13" s="3"/>
      <c r="F13" s="3"/>
      <c r="G13" s="3" t="s">
        <v>3</v>
      </c>
      <c r="H13" s="3"/>
      <c r="I13" s="3"/>
      <c r="J13" s="3"/>
      <c r="K13" s="28"/>
      <c r="L13" s="5"/>
      <c r="M13" s="5"/>
      <c r="N13" s="6"/>
    </row>
    <row r="14" spans="1:14" ht="12.75">
      <c r="A14" s="13"/>
      <c r="B14" s="13"/>
      <c r="C14" s="13"/>
      <c r="D14" s="13"/>
      <c r="E14" s="13"/>
      <c r="F14" s="3"/>
      <c r="G14" s="13"/>
      <c r="H14" s="13"/>
      <c r="I14" s="13"/>
      <c r="J14" s="13"/>
      <c r="K14" s="13"/>
      <c r="L14" s="6"/>
      <c r="M14" s="6"/>
      <c r="N14" s="6"/>
    </row>
    <row r="15" spans="1:14" ht="12.75">
      <c r="A15" s="3" t="s">
        <v>1</v>
      </c>
      <c r="B15" s="3"/>
      <c r="C15" s="3" t="s">
        <v>2</v>
      </c>
      <c r="D15" s="3"/>
      <c r="E15" s="3"/>
      <c r="F15" s="3"/>
      <c r="G15" s="3" t="s">
        <v>1</v>
      </c>
      <c r="H15" s="3"/>
      <c r="I15" s="3" t="s">
        <v>2</v>
      </c>
      <c r="J15" s="3"/>
      <c r="K15" s="28"/>
      <c r="L15" s="6"/>
      <c r="M15" s="6"/>
      <c r="N15" s="6"/>
    </row>
    <row r="16" spans="1:14" ht="12.75">
      <c r="A16" s="13"/>
      <c r="B16" s="13"/>
      <c r="C16" s="13"/>
      <c r="D16" s="13"/>
      <c r="E16" s="13"/>
      <c r="F16" s="3"/>
      <c r="G16" s="13"/>
      <c r="H16" s="13"/>
      <c r="I16" s="13"/>
      <c r="J16" s="13"/>
      <c r="K16" s="13"/>
      <c r="L16" s="6"/>
      <c r="M16" s="6"/>
      <c r="N16" s="6"/>
    </row>
    <row r="17" spans="1:14" ht="12.75">
      <c r="A17" s="3" t="s">
        <v>99</v>
      </c>
      <c r="B17" s="3"/>
      <c r="C17" s="3"/>
      <c r="D17" s="3"/>
      <c r="E17" s="3"/>
      <c r="F17" s="3"/>
      <c r="G17" s="3" t="s">
        <v>11</v>
      </c>
      <c r="H17" s="3"/>
      <c r="I17" s="3"/>
      <c r="J17" s="3"/>
      <c r="K17" s="28"/>
      <c r="L17" s="6"/>
      <c r="M17" s="6"/>
      <c r="N17" s="6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28"/>
      <c r="L18" s="6"/>
      <c r="M18" s="6"/>
      <c r="N18" s="6"/>
    </row>
    <row r="19" spans="1:11" ht="12.75">
      <c r="A19" s="36" t="s">
        <v>14</v>
      </c>
      <c r="B19" s="28"/>
      <c r="C19" s="28"/>
      <c r="D19" s="28"/>
      <c r="E19" s="28" t="s">
        <v>15</v>
      </c>
      <c r="F19" s="28"/>
      <c r="G19" s="6" t="s">
        <v>184</v>
      </c>
      <c r="H19" s="28"/>
      <c r="I19" s="28"/>
      <c r="J19" t="s">
        <v>183</v>
      </c>
      <c r="K19" s="3"/>
    </row>
    <row r="20" spans="1:11" ht="12.75">
      <c r="A20" s="28"/>
      <c r="B20" s="28"/>
      <c r="C20" s="28"/>
      <c r="D20" s="28"/>
      <c r="E20" s="28"/>
      <c r="F20" s="28"/>
      <c r="G20" s="28"/>
      <c r="H20" s="28"/>
      <c r="I20" s="28"/>
      <c r="J20" s="3"/>
      <c r="K20" s="3"/>
    </row>
    <row r="21" spans="1:11" ht="12.75">
      <c r="A21" s="3" t="s">
        <v>98</v>
      </c>
      <c r="B21" s="3"/>
      <c r="C21" s="28"/>
      <c r="D21" s="28"/>
      <c r="E21" s="3"/>
      <c r="F21" s="3"/>
      <c r="G21" s="3" t="s">
        <v>82</v>
      </c>
      <c r="H21" s="28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 t="s">
        <v>83</v>
      </c>
      <c r="B23" s="3"/>
      <c r="C23" s="3"/>
      <c r="D23" s="3"/>
      <c r="E23" s="3"/>
      <c r="F23" s="28"/>
      <c r="G23" s="28"/>
      <c r="H23" s="28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 t="s">
        <v>100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7" spans="1:3" ht="15">
      <c r="A27" s="8" t="s">
        <v>5</v>
      </c>
      <c r="B27" s="1"/>
      <c r="C27" s="1"/>
    </row>
    <row r="29" ht="12.75">
      <c r="A29" t="s">
        <v>8</v>
      </c>
    </row>
    <row r="30" ht="12.75">
      <c r="A30" t="s">
        <v>6</v>
      </c>
    </row>
    <row r="31" ht="12.75">
      <c r="A31" t="s">
        <v>7</v>
      </c>
    </row>
    <row r="32" ht="12.75">
      <c r="A32" t="s">
        <v>101</v>
      </c>
    </row>
    <row r="33" ht="12.75">
      <c r="A33" t="s">
        <v>9</v>
      </c>
    </row>
    <row r="35" spans="1:7" ht="13.5">
      <c r="A35" s="7" t="s">
        <v>10</v>
      </c>
      <c r="G35" s="7" t="s">
        <v>13</v>
      </c>
    </row>
    <row r="37" spans="1:11" ht="12.75">
      <c r="A37" s="13"/>
      <c r="B37" s="13"/>
      <c r="C37" s="13"/>
      <c r="D37" s="13"/>
      <c r="E37" s="13"/>
      <c r="F37" s="28"/>
      <c r="G37" s="13"/>
      <c r="H37" s="13"/>
      <c r="I37" s="13"/>
      <c r="J37" s="13"/>
      <c r="K37" s="13"/>
    </row>
    <row r="38" spans="1:11" ht="12.75">
      <c r="A38" s="3" t="s">
        <v>12</v>
      </c>
      <c r="B38" s="3"/>
      <c r="C38" s="3" t="s">
        <v>102</v>
      </c>
      <c r="D38" s="3"/>
      <c r="E38" s="3"/>
      <c r="F38" s="3"/>
      <c r="G38" s="3" t="s">
        <v>12</v>
      </c>
      <c r="H38" s="3"/>
      <c r="I38" s="3" t="s">
        <v>102</v>
      </c>
      <c r="J38" s="3"/>
      <c r="K38" s="3"/>
    </row>
    <row r="39" spans="1:11" ht="12.75">
      <c r="A39" s="13"/>
      <c r="B39" s="13"/>
      <c r="C39" s="13"/>
      <c r="D39" s="13"/>
      <c r="E39" s="13"/>
      <c r="F39" s="3"/>
      <c r="G39" s="13"/>
      <c r="H39" s="13"/>
      <c r="I39" s="13"/>
      <c r="J39" s="13"/>
      <c r="K39" s="13"/>
    </row>
    <row r="40" spans="1:11" ht="12.75">
      <c r="A40" s="3" t="s">
        <v>0</v>
      </c>
      <c r="B40" s="3"/>
      <c r="C40" s="3"/>
      <c r="D40" s="3"/>
      <c r="E40" s="3"/>
      <c r="F40" s="3"/>
      <c r="G40" s="3" t="s">
        <v>0</v>
      </c>
      <c r="H40" s="3"/>
      <c r="I40" s="3"/>
      <c r="J40" s="3"/>
      <c r="K40" s="3"/>
    </row>
    <row r="41" spans="1:11" ht="12.75">
      <c r="A41" s="13"/>
      <c r="B41" s="13"/>
      <c r="C41" s="13"/>
      <c r="D41" s="13"/>
      <c r="E41" s="13"/>
      <c r="F41" s="3"/>
      <c r="G41" s="13"/>
      <c r="H41" s="13"/>
      <c r="I41" s="13"/>
      <c r="J41" s="13"/>
      <c r="K41" s="13"/>
    </row>
    <row r="42" spans="1:11" ht="12.75">
      <c r="A42" s="3" t="s">
        <v>3</v>
      </c>
      <c r="B42" s="3"/>
      <c r="C42" s="3"/>
      <c r="D42" s="3"/>
      <c r="E42" s="3"/>
      <c r="F42" s="3"/>
      <c r="G42" s="3" t="s">
        <v>3</v>
      </c>
      <c r="H42" s="3"/>
      <c r="I42" s="3"/>
      <c r="J42" s="3"/>
      <c r="K42" s="3"/>
    </row>
    <row r="43" spans="1:11" ht="12.75">
      <c r="A43" s="13"/>
      <c r="B43" s="13"/>
      <c r="C43" s="13"/>
      <c r="D43" s="13"/>
      <c r="E43" s="13"/>
      <c r="F43" s="3"/>
      <c r="G43" s="13"/>
      <c r="H43" s="13"/>
      <c r="I43" s="13"/>
      <c r="J43" s="13"/>
      <c r="K43" s="13"/>
    </row>
    <row r="44" spans="1:11" ht="12.75">
      <c r="A44" s="3" t="s">
        <v>1</v>
      </c>
      <c r="B44" s="3"/>
      <c r="C44" s="3" t="s">
        <v>2</v>
      </c>
      <c r="D44" s="3"/>
      <c r="E44" s="3"/>
      <c r="F44" s="3"/>
      <c r="G44" s="3" t="s">
        <v>1</v>
      </c>
      <c r="H44" s="3"/>
      <c r="I44" s="3" t="s">
        <v>2</v>
      </c>
      <c r="J44" s="3"/>
      <c r="K44" s="3"/>
    </row>
    <row r="46" ht="15">
      <c r="A46" s="7" t="s">
        <v>94</v>
      </c>
    </row>
    <row r="48" spans="1:6" ht="12.75">
      <c r="A48" s="13"/>
      <c r="B48" s="13"/>
      <c r="C48" s="13"/>
      <c r="D48" s="13"/>
      <c r="E48" s="13"/>
      <c r="F48" s="3"/>
    </row>
    <row r="49" spans="1:6" ht="12.75">
      <c r="A49" s="3" t="s">
        <v>12</v>
      </c>
      <c r="B49" s="3"/>
      <c r="C49" s="3" t="s">
        <v>102</v>
      </c>
      <c r="D49" s="3"/>
      <c r="E49" s="3"/>
      <c r="F49" s="3"/>
    </row>
    <row r="50" spans="1:6" ht="12.75">
      <c r="A50" s="13"/>
      <c r="B50" s="13"/>
      <c r="C50" s="13"/>
      <c r="D50" s="13"/>
      <c r="E50" s="13"/>
      <c r="F50" s="3"/>
    </row>
    <row r="51" spans="1:6" ht="12.75">
      <c r="A51" s="3" t="s">
        <v>0</v>
      </c>
      <c r="B51" s="3"/>
      <c r="C51" s="3"/>
      <c r="D51" s="3"/>
      <c r="E51" s="3"/>
      <c r="F51" s="3"/>
    </row>
    <row r="52" spans="1:6" ht="12.75">
      <c r="A52" s="13"/>
      <c r="B52" s="13"/>
      <c r="C52" s="13"/>
      <c r="D52" s="13"/>
      <c r="E52" s="13"/>
      <c r="F52" s="3"/>
    </row>
    <row r="53" spans="1:6" ht="12.75">
      <c r="A53" s="3" t="s">
        <v>3</v>
      </c>
      <c r="B53" s="3"/>
      <c r="C53" s="3"/>
      <c r="D53" s="3"/>
      <c r="E53" s="3"/>
      <c r="F53" s="3"/>
    </row>
    <row r="54" spans="1:6" ht="12.75">
      <c r="A54" s="13"/>
      <c r="B54" s="13"/>
      <c r="C54" s="13"/>
      <c r="D54" s="13"/>
      <c r="E54" s="13"/>
      <c r="F54" s="3"/>
    </row>
    <row r="55" spans="1:6" ht="12.75">
      <c r="A55" s="3" t="s">
        <v>1</v>
      </c>
      <c r="B55" s="3"/>
      <c r="C55" s="3" t="s">
        <v>2</v>
      </c>
      <c r="D55" s="3"/>
      <c r="E55" s="3"/>
      <c r="F55" s="3"/>
    </row>
    <row r="56" ht="15.75">
      <c r="A56" s="8" t="s">
        <v>36</v>
      </c>
    </row>
    <row r="58" ht="12.75">
      <c r="A58" t="s">
        <v>105</v>
      </c>
    </row>
    <row r="59" ht="12.75">
      <c r="A59" t="s">
        <v>103</v>
      </c>
    </row>
    <row r="61" ht="12.75">
      <c r="A61" t="s">
        <v>104</v>
      </c>
    </row>
    <row r="63" ht="15">
      <c r="A63" s="8" t="s">
        <v>37</v>
      </c>
    </row>
    <row r="65" spans="1:11" ht="12.75">
      <c r="A65" s="11" t="s">
        <v>38</v>
      </c>
      <c r="B65" s="14"/>
      <c r="C65" s="11" t="s">
        <v>39</v>
      </c>
      <c r="D65" s="14"/>
      <c r="E65" s="4" t="s">
        <v>40</v>
      </c>
      <c r="F65" s="4"/>
      <c r="G65" s="14"/>
      <c r="H65" s="12" t="s">
        <v>41</v>
      </c>
      <c r="I65" s="15"/>
      <c r="J65" s="13" t="s">
        <v>106</v>
      </c>
      <c r="K65" s="4"/>
    </row>
    <row r="66" spans="1:11" ht="12.75">
      <c r="A66" s="25"/>
      <c r="B66" s="30"/>
      <c r="C66" s="25"/>
      <c r="D66" s="17"/>
      <c r="E66" s="6"/>
      <c r="F66" s="6"/>
      <c r="G66" s="17"/>
      <c r="H66" s="26"/>
      <c r="I66" s="27"/>
      <c r="J66" s="28"/>
      <c r="K66" s="6"/>
    </row>
    <row r="67" spans="1:11" ht="12.75">
      <c r="A67" s="4"/>
      <c r="B67" s="14"/>
      <c r="C67" s="4"/>
      <c r="D67" s="14"/>
      <c r="E67" s="4"/>
      <c r="F67" s="4"/>
      <c r="G67" s="14"/>
      <c r="H67" s="4"/>
      <c r="I67" s="14"/>
      <c r="J67" s="29" t="s">
        <v>42</v>
      </c>
      <c r="K67" s="29" t="s">
        <v>43</v>
      </c>
    </row>
    <row r="68" spans="1:11" ht="12.75">
      <c r="A68" s="6"/>
      <c r="B68" s="17"/>
      <c r="C68" s="6"/>
      <c r="D68" s="17"/>
      <c r="E68" s="6"/>
      <c r="F68" s="6"/>
      <c r="G68" s="17"/>
      <c r="H68" s="6"/>
      <c r="I68" s="17"/>
      <c r="J68" s="16"/>
      <c r="K68" s="16"/>
    </row>
    <row r="69" spans="1:11" ht="12.75">
      <c r="A69" s="4"/>
      <c r="B69" s="14"/>
      <c r="C69" s="4"/>
      <c r="D69" s="14"/>
      <c r="E69" s="4"/>
      <c r="F69" s="4"/>
      <c r="G69" s="14"/>
      <c r="H69" s="4"/>
      <c r="I69" s="14"/>
      <c r="J69" s="29" t="s">
        <v>42</v>
      </c>
      <c r="K69" s="29" t="s">
        <v>43</v>
      </c>
    </row>
    <row r="70" spans="1:11" ht="12.75">
      <c r="A70" s="6"/>
      <c r="B70" s="17"/>
      <c r="C70" s="6"/>
      <c r="D70" s="17"/>
      <c r="E70" s="6"/>
      <c r="F70" s="6"/>
      <c r="G70" s="17"/>
      <c r="H70" s="6"/>
      <c r="I70" s="17"/>
      <c r="J70" s="16"/>
      <c r="K70" s="16"/>
    </row>
    <row r="71" spans="1:11" ht="12.75">
      <c r="A71" s="4"/>
      <c r="B71" s="14"/>
      <c r="C71" s="4"/>
      <c r="D71" s="14"/>
      <c r="E71" s="4"/>
      <c r="F71" s="4"/>
      <c r="G71" s="14"/>
      <c r="H71" s="4"/>
      <c r="I71" s="14"/>
      <c r="J71" s="29" t="s">
        <v>42</v>
      </c>
      <c r="K71" s="29" t="s">
        <v>43</v>
      </c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16"/>
      <c r="K72" s="16"/>
    </row>
    <row r="73" spans="1:9" ht="15">
      <c r="A73" s="8" t="s">
        <v>107</v>
      </c>
      <c r="H73" s="10"/>
      <c r="I73" s="10"/>
    </row>
    <row r="74" spans="1:10" ht="12.75">
      <c r="A74" s="3" t="s">
        <v>44</v>
      </c>
      <c r="B74" s="3" t="s">
        <v>48</v>
      </c>
      <c r="C74" s="3"/>
      <c r="D74" s="3" t="s">
        <v>46</v>
      </c>
      <c r="E74" s="3" t="s">
        <v>49</v>
      </c>
      <c r="F74" s="3"/>
      <c r="G74" s="3"/>
      <c r="H74" s="3"/>
      <c r="I74" s="3"/>
      <c r="J74" s="3"/>
    </row>
    <row r="75" spans="1:10" ht="12.75">
      <c r="A75" s="3" t="s">
        <v>45</v>
      </c>
      <c r="B75" s="3" t="s">
        <v>47</v>
      </c>
      <c r="C75" s="3" t="s">
        <v>50</v>
      </c>
      <c r="D75" s="3"/>
      <c r="E75" s="3"/>
      <c r="F75" s="3" t="s">
        <v>51</v>
      </c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t="s">
        <v>125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t="s">
        <v>126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3" ht="12.75">
      <c r="A83" s="2" t="s">
        <v>127</v>
      </c>
    </row>
    <row r="84" spans="1:10" ht="12.75">
      <c r="A84" s="3" t="s">
        <v>53</v>
      </c>
      <c r="B84" s="3"/>
      <c r="C84" s="3" t="s">
        <v>122</v>
      </c>
      <c r="D84" s="3"/>
      <c r="E84" s="3"/>
      <c r="F84" s="3" t="s">
        <v>59</v>
      </c>
      <c r="G84" s="3"/>
      <c r="H84" s="3"/>
      <c r="I84" s="3"/>
      <c r="J84" s="3"/>
    </row>
    <row r="85" spans="1:10" ht="12.75">
      <c r="A85" s="3" t="s">
        <v>54</v>
      </c>
      <c r="B85" s="3"/>
      <c r="C85" s="3" t="s">
        <v>58</v>
      </c>
      <c r="D85" s="3"/>
      <c r="E85" s="3"/>
      <c r="F85" s="3" t="s">
        <v>60</v>
      </c>
      <c r="G85" s="3"/>
      <c r="H85" s="3"/>
      <c r="I85" s="3"/>
      <c r="J85" s="3"/>
    </row>
    <row r="86" spans="1:10" ht="12.75">
      <c r="A86" s="3" t="s">
        <v>123</v>
      </c>
      <c r="B86" s="3"/>
      <c r="C86" s="3"/>
      <c r="D86" s="3"/>
      <c r="E86" s="3"/>
      <c r="F86" t="s">
        <v>128</v>
      </c>
      <c r="G86" s="3"/>
      <c r="H86" s="3"/>
      <c r="I86" s="3"/>
      <c r="J86" s="3"/>
    </row>
    <row r="87" spans="1:10" ht="12.75">
      <c r="A87" s="3" t="s">
        <v>56</v>
      </c>
      <c r="B87" s="3"/>
      <c r="D87" s="3"/>
      <c r="E87" s="3"/>
      <c r="F87" s="3"/>
      <c r="G87" s="3"/>
      <c r="H87" s="3"/>
      <c r="I87" s="3"/>
      <c r="J87" s="3"/>
    </row>
    <row r="88" spans="1:10" ht="12.75">
      <c r="A88" s="3" t="s">
        <v>57</v>
      </c>
      <c r="B88" s="3"/>
      <c r="C88" t="s">
        <v>124</v>
      </c>
      <c r="D88" s="3"/>
      <c r="E88" s="3"/>
      <c r="F88" s="3"/>
      <c r="G88" s="3"/>
      <c r="H88" s="3"/>
      <c r="I88" s="3"/>
      <c r="J88" s="3"/>
    </row>
    <row r="90" ht="12.75">
      <c r="A90" s="2" t="s">
        <v>74</v>
      </c>
    </row>
    <row r="91" spans="1:11" ht="12.75">
      <c r="A91" s="31" t="s">
        <v>96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2.75">
      <c r="A92" s="31" t="s">
        <v>95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2.75">
      <c r="A94" s="31" t="s">
        <v>97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2.75">
      <c r="A95" s="31" t="s">
        <v>70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2.75">
      <c r="A97" s="31" t="s">
        <v>75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2.75">
      <c r="A98" s="31" t="s">
        <v>76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2.75">
      <c r="A99" s="31" t="s">
        <v>71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2.75">
      <c r="A101" s="43" t="s">
        <v>132</v>
      </c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2.75">
      <c r="A102" s="43"/>
      <c r="B102" s="43" t="s">
        <v>133</v>
      </c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>
      <c r="A103" s="31" t="s">
        <v>72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0" ht="12.75">
      <c r="A104" s="31" t="s">
        <v>61</v>
      </c>
      <c r="B104" s="31"/>
      <c r="C104" s="31"/>
      <c r="D104" s="31"/>
      <c r="F104" s="31"/>
      <c r="G104" s="31"/>
      <c r="H104" s="31"/>
      <c r="I104" s="31"/>
      <c r="J104" s="31"/>
    </row>
    <row r="105" spans="1:10" ht="12.75">
      <c r="A105" s="31" t="s">
        <v>153</v>
      </c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2.75">
      <c r="A106" s="31" t="s">
        <v>77</v>
      </c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2.75">
      <c r="A107" s="31" t="s">
        <v>78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2.75">
      <c r="A108" s="31"/>
      <c r="B108" s="31" t="s">
        <v>129</v>
      </c>
      <c r="C108" s="31"/>
      <c r="D108" s="31"/>
      <c r="E108" s="31"/>
      <c r="F108" s="31"/>
      <c r="G108" s="31"/>
      <c r="H108" s="31"/>
      <c r="I108" s="31"/>
      <c r="J108" s="31"/>
    </row>
    <row r="109" spans="1:10" ht="12.75">
      <c r="A109" s="32" t="s">
        <v>130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2.75">
      <c r="A110" s="31" t="s">
        <v>131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3" ht="12.75">
      <c r="A113" s="39" t="s">
        <v>118</v>
      </c>
    </row>
    <row r="114" ht="12.75">
      <c r="A114" s="40" t="s">
        <v>189</v>
      </c>
    </row>
    <row r="115" ht="12.75">
      <c r="A115" s="1"/>
    </row>
    <row r="116" ht="12.75">
      <c r="A116" s="40" t="s">
        <v>186</v>
      </c>
    </row>
    <row r="117" ht="12.75">
      <c r="A117" s="40" t="s">
        <v>187</v>
      </c>
    </row>
    <row r="118" spans="1:6" ht="13.5" customHeight="1">
      <c r="A118" s="40" t="s">
        <v>188</v>
      </c>
      <c r="B118" s="33"/>
      <c r="F118" s="1"/>
    </row>
    <row r="119" spans="1:6" ht="18">
      <c r="A119" s="1"/>
      <c r="B119" s="33"/>
      <c r="F119" s="1"/>
    </row>
    <row r="120" ht="12.75">
      <c r="A120" t="s">
        <v>79</v>
      </c>
    </row>
    <row r="121" ht="18">
      <c r="A121" s="33" t="s">
        <v>185</v>
      </c>
    </row>
    <row r="122" ht="12.75">
      <c r="A122" s="41" t="s">
        <v>190</v>
      </c>
    </row>
  </sheetData>
  <sheetProtection/>
  <printOptions/>
  <pageMargins left="0.75" right="0.75" top="1" bottom="1" header="0.5" footer="0.5"/>
  <pageSetup horizontalDpi="600" verticalDpi="600" orientation="portrait" scale="76" r:id="rId2"/>
  <rowBreaks count="1" manualBreakCount="1">
    <brk id="55" max="10" man="1"/>
  </rowBreaks>
  <colBreaks count="1" manualBreakCount="1">
    <brk id="11" max="116" man="1"/>
  </colBreaks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34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1" max="11" width="9.7109375" style="0" customWidth="1"/>
  </cols>
  <sheetData>
    <row r="1" ht="16.5">
      <c r="G1" s="9" t="s">
        <v>80</v>
      </c>
    </row>
    <row r="6" ht="15.75">
      <c r="A6" s="8" t="s">
        <v>4</v>
      </c>
    </row>
    <row r="10" spans="1:13" ht="15">
      <c r="A10" s="7" t="s">
        <v>16</v>
      </c>
      <c r="F10" s="2"/>
      <c r="K10" s="5"/>
      <c r="L10" s="6"/>
      <c r="M10" s="6"/>
    </row>
    <row r="11" spans="1:13" ht="15">
      <c r="A11" s="7"/>
      <c r="F11" s="2"/>
      <c r="G11" s="7"/>
      <c r="K11" s="5"/>
      <c r="L11" s="6"/>
      <c r="M11" s="6"/>
    </row>
    <row r="12" spans="1:13" ht="13.5">
      <c r="A12" s="44"/>
      <c r="B12" s="4"/>
      <c r="C12" s="4"/>
      <c r="D12" s="4"/>
      <c r="E12" s="4"/>
      <c r="F12" s="2"/>
      <c r="G12" s="7" t="s">
        <v>93</v>
      </c>
      <c r="K12" s="5"/>
      <c r="L12" s="6"/>
      <c r="M12" s="6"/>
    </row>
    <row r="13" spans="1:13" ht="12.75">
      <c r="A13" s="6" t="s">
        <v>134</v>
      </c>
      <c r="F13" s="2"/>
      <c r="G13" s="2"/>
      <c r="K13" s="5"/>
      <c r="L13" s="6"/>
      <c r="M13" s="6"/>
    </row>
    <row r="14" spans="1:14" ht="12.75">
      <c r="A14" s="4"/>
      <c r="B14" s="4"/>
      <c r="C14" s="4"/>
      <c r="D14" s="4"/>
      <c r="E14" s="4"/>
      <c r="G14" s="4"/>
      <c r="H14" s="4"/>
      <c r="I14" s="4"/>
      <c r="J14" s="4"/>
      <c r="K14" s="4"/>
      <c r="L14" s="6"/>
      <c r="M14" s="6"/>
      <c r="N14" s="6"/>
    </row>
    <row r="15" spans="1:14" ht="12.75">
      <c r="A15" s="28" t="s">
        <v>0</v>
      </c>
      <c r="B15" s="28"/>
      <c r="C15" s="28"/>
      <c r="D15" s="3"/>
      <c r="E15" s="3"/>
      <c r="F15" s="3"/>
      <c r="G15" s="28" t="s">
        <v>0</v>
      </c>
      <c r="H15" s="28"/>
      <c r="I15" s="28"/>
      <c r="J15" s="3"/>
      <c r="K15" s="28"/>
      <c r="L15" s="6"/>
      <c r="M15" s="6"/>
      <c r="N15" s="6"/>
    </row>
    <row r="16" spans="1:14" ht="12.75">
      <c r="A16" s="13"/>
      <c r="B16" s="13"/>
      <c r="C16" s="13"/>
      <c r="D16" s="13"/>
      <c r="E16" s="13"/>
      <c r="F16" s="3"/>
      <c r="G16" s="13"/>
      <c r="H16" s="13"/>
      <c r="I16" s="13"/>
      <c r="J16" s="13"/>
      <c r="K16" s="13"/>
      <c r="L16" s="6"/>
      <c r="M16" s="6"/>
      <c r="N16" s="6"/>
    </row>
    <row r="17" spans="1:14" ht="12.75">
      <c r="A17" s="3" t="s">
        <v>3</v>
      </c>
      <c r="B17" s="3"/>
      <c r="C17" s="3"/>
      <c r="D17" s="3"/>
      <c r="E17" s="3"/>
      <c r="F17" s="3"/>
      <c r="G17" s="3" t="s">
        <v>3</v>
      </c>
      <c r="H17" s="3"/>
      <c r="I17" s="3"/>
      <c r="J17" s="3"/>
      <c r="K17" s="28"/>
      <c r="L17" s="5"/>
      <c r="M17" s="5"/>
      <c r="N17" s="6"/>
    </row>
    <row r="18" spans="1:14" ht="12.75">
      <c r="A18" s="13"/>
      <c r="B18" s="13"/>
      <c r="C18" s="13"/>
      <c r="D18" s="13"/>
      <c r="E18" s="13"/>
      <c r="F18" s="3"/>
      <c r="G18" s="13"/>
      <c r="H18" s="13"/>
      <c r="I18" s="13"/>
      <c r="J18" s="13"/>
      <c r="K18" s="13"/>
      <c r="L18" s="6"/>
      <c r="M18" s="6"/>
      <c r="N18" s="6"/>
    </row>
    <row r="19" spans="1:14" ht="12.75">
      <c r="A19" s="3" t="s">
        <v>1</v>
      </c>
      <c r="B19" s="3"/>
      <c r="C19" s="3" t="s">
        <v>2</v>
      </c>
      <c r="D19" s="3"/>
      <c r="E19" s="3"/>
      <c r="F19" s="3"/>
      <c r="G19" s="3" t="s">
        <v>1</v>
      </c>
      <c r="H19" s="3"/>
      <c r="I19" s="3" t="s">
        <v>2</v>
      </c>
      <c r="J19" s="3"/>
      <c r="K19" s="28"/>
      <c r="L19" s="6"/>
      <c r="M19" s="6"/>
      <c r="N19" s="6"/>
    </row>
    <row r="20" spans="1:14" ht="12.75">
      <c r="A20" s="13"/>
      <c r="B20" s="13"/>
      <c r="C20" s="13"/>
      <c r="D20" s="13"/>
      <c r="E20" s="13"/>
      <c r="F20" s="3"/>
      <c r="G20" s="13"/>
      <c r="H20" s="13"/>
      <c r="I20" s="13"/>
      <c r="J20" s="13"/>
      <c r="K20" s="13"/>
      <c r="L20" s="6"/>
      <c r="M20" s="6"/>
      <c r="N20" s="6"/>
    </row>
    <row r="21" spans="1:14" ht="12.75">
      <c r="A21" s="3" t="s">
        <v>99</v>
      </c>
      <c r="B21" s="3"/>
      <c r="C21" s="3"/>
      <c r="D21" s="3"/>
      <c r="E21" s="3"/>
      <c r="F21" s="3"/>
      <c r="G21" s="3" t="s">
        <v>11</v>
      </c>
      <c r="H21" s="3"/>
      <c r="I21" s="3"/>
      <c r="J21" s="3"/>
      <c r="K21" s="28"/>
      <c r="L21" s="6"/>
      <c r="M21" s="6"/>
      <c r="N21" s="6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28"/>
      <c r="L22" s="6"/>
      <c r="M22" s="6"/>
      <c r="N22" s="6"/>
    </row>
    <row r="23" spans="1:11" ht="12.75">
      <c r="A23" s="36" t="s">
        <v>14</v>
      </c>
      <c r="B23" s="28"/>
      <c r="C23" s="28"/>
      <c r="D23" s="28"/>
      <c r="E23" s="28" t="s">
        <v>15</v>
      </c>
      <c r="F23" s="28"/>
      <c r="G23" s="6" t="s">
        <v>184</v>
      </c>
      <c r="H23" s="28"/>
      <c r="I23" s="28"/>
      <c r="J23" t="s">
        <v>183</v>
      </c>
      <c r="K23" s="3"/>
    </row>
    <row r="24" spans="1:11" ht="12.75">
      <c r="A24" s="28"/>
      <c r="B24" s="28"/>
      <c r="C24" s="28"/>
      <c r="D24" s="28"/>
      <c r="E24" s="28"/>
      <c r="F24" s="28"/>
      <c r="G24" s="28"/>
      <c r="H24" s="28"/>
      <c r="I24" s="28"/>
      <c r="J24" s="3"/>
      <c r="K24" s="3"/>
    </row>
    <row r="25" spans="1:11" ht="12.75">
      <c r="A25" s="3" t="s">
        <v>98</v>
      </c>
      <c r="B25" s="3"/>
      <c r="C25" s="28"/>
      <c r="D25" s="28"/>
      <c r="E25" s="3"/>
      <c r="F25" s="3"/>
      <c r="G25" s="3" t="s">
        <v>82</v>
      </c>
      <c r="H25" s="28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 t="s">
        <v>83</v>
      </c>
      <c r="B27" s="3"/>
      <c r="C27" s="3"/>
      <c r="D27" s="3"/>
      <c r="E27" s="3"/>
      <c r="F27" s="28"/>
      <c r="G27" s="28"/>
      <c r="H27" s="28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 t="s">
        <v>100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3" ht="15">
      <c r="A31" s="8" t="s">
        <v>5</v>
      </c>
      <c r="B31" s="1"/>
      <c r="C31" s="1"/>
    </row>
    <row r="33" ht="12.75">
      <c r="A33" t="s">
        <v>8</v>
      </c>
    </row>
    <row r="34" ht="12.75">
      <c r="A34" t="s">
        <v>6</v>
      </c>
    </row>
    <row r="35" ht="12.75">
      <c r="A35" t="s">
        <v>7</v>
      </c>
    </row>
    <row r="36" ht="12.75">
      <c r="A36" t="s">
        <v>101</v>
      </c>
    </row>
    <row r="37" ht="12.75">
      <c r="A37" t="s">
        <v>9</v>
      </c>
    </row>
    <row r="39" spans="1:7" ht="13.5">
      <c r="A39" s="7" t="s">
        <v>10</v>
      </c>
      <c r="G39" s="7" t="s">
        <v>13</v>
      </c>
    </row>
    <row r="41" spans="1:11" ht="12.75">
      <c r="A41" s="13"/>
      <c r="B41" s="13"/>
      <c r="C41" s="13"/>
      <c r="D41" s="13"/>
      <c r="E41" s="13"/>
      <c r="F41" s="28"/>
      <c r="G41" s="13"/>
      <c r="H41" s="13"/>
      <c r="I41" s="13"/>
      <c r="J41" s="13"/>
      <c r="K41" s="13"/>
    </row>
    <row r="42" spans="1:11" ht="12.75">
      <c r="A42" s="3" t="s">
        <v>12</v>
      </c>
      <c r="B42" s="3"/>
      <c r="C42" s="3" t="s">
        <v>102</v>
      </c>
      <c r="D42" s="3"/>
      <c r="E42" s="3"/>
      <c r="F42" s="3"/>
      <c r="G42" s="3" t="s">
        <v>12</v>
      </c>
      <c r="H42" s="3"/>
      <c r="I42" s="3" t="s">
        <v>102</v>
      </c>
      <c r="J42" s="3"/>
      <c r="K42" s="3"/>
    </row>
    <row r="43" spans="1:11" ht="12.75">
      <c r="A43" s="13"/>
      <c r="B43" s="13"/>
      <c r="C43" s="13"/>
      <c r="D43" s="13"/>
      <c r="E43" s="13"/>
      <c r="F43" s="3"/>
      <c r="G43" s="13"/>
      <c r="H43" s="13"/>
      <c r="I43" s="13"/>
      <c r="J43" s="13"/>
      <c r="K43" s="13"/>
    </row>
    <row r="44" spans="1:11" ht="12.75">
      <c r="A44" s="3" t="s">
        <v>0</v>
      </c>
      <c r="B44" s="3"/>
      <c r="C44" s="3"/>
      <c r="D44" s="3"/>
      <c r="E44" s="3"/>
      <c r="F44" s="3"/>
      <c r="G44" s="3" t="s">
        <v>0</v>
      </c>
      <c r="H44" s="3"/>
      <c r="I44" s="3"/>
      <c r="J44" s="3"/>
      <c r="K44" s="3"/>
    </row>
    <row r="45" spans="1:11" ht="12.75">
      <c r="A45" s="13"/>
      <c r="B45" s="13"/>
      <c r="C45" s="13"/>
      <c r="D45" s="13"/>
      <c r="E45" s="13"/>
      <c r="F45" s="3"/>
      <c r="G45" s="13"/>
      <c r="H45" s="13"/>
      <c r="I45" s="13"/>
      <c r="J45" s="13"/>
      <c r="K45" s="13"/>
    </row>
    <row r="46" spans="1:11" ht="12.75">
      <c r="A46" s="3" t="s">
        <v>3</v>
      </c>
      <c r="B46" s="3"/>
      <c r="C46" s="3"/>
      <c r="D46" s="3"/>
      <c r="E46" s="3"/>
      <c r="F46" s="3"/>
      <c r="G46" s="3" t="s">
        <v>3</v>
      </c>
      <c r="H46" s="3"/>
      <c r="I46" s="3"/>
      <c r="J46" s="3"/>
      <c r="K46" s="3"/>
    </row>
    <row r="47" spans="1:11" ht="12.75">
      <c r="A47" s="13"/>
      <c r="B47" s="13"/>
      <c r="C47" s="13"/>
      <c r="D47" s="13"/>
      <c r="E47" s="13"/>
      <c r="F47" s="3"/>
      <c r="G47" s="13"/>
      <c r="H47" s="13"/>
      <c r="I47" s="13"/>
      <c r="J47" s="13"/>
      <c r="K47" s="13"/>
    </row>
    <row r="48" spans="1:11" ht="12.75">
      <c r="A48" s="3" t="s">
        <v>1</v>
      </c>
      <c r="B48" s="3"/>
      <c r="C48" s="3" t="s">
        <v>2</v>
      </c>
      <c r="D48" s="3"/>
      <c r="E48" s="3"/>
      <c r="F48" s="3"/>
      <c r="G48" s="3" t="s">
        <v>1</v>
      </c>
      <c r="H48" s="3"/>
      <c r="I48" s="3" t="s">
        <v>2</v>
      </c>
      <c r="J48" s="3"/>
      <c r="K48" s="3"/>
    </row>
    <row r="50" spans="1:7" ht="13.5">
      <c r="A50" s="7" t="s">
        <v>172</v>
      </c>
      <c r="G50" s="7" t="s">
        <v>94</v>
      </c>
    </row>
    <row r="52" spans="1:11" ht="12.75">
      <c r="A52" t="s">
        <v>173</v>
      </c>
      <c r="F52" s="3"/>
      <c r="G52" s="13"/>
      <c r="H52" s="13"/>
      <c r="I52" s="13"/>
      <c r="J52" s="13"/>
      <c r="K52" s="13"/>
    </row>
    <row r="53" spans="6:11" ht="12.75">
      <c r="F53" s="3"/>
      <c r="G53" s="3" t="s">
        <v>12</v>
      </c>
      <c r="H53" s="3"/>
      <c r="I53" s="3" t="s">
        <v>102</v>
      </c>
      <c r="J53" s="3"/>
      <c r="K53" s="3"/>
    </row>
    <row r="54" spans="1:11" ht="12.75">
      <c r="A54" t="s">
        <v>174</v>
      </c>
      <c r="F54" s="3"/>
      <c r="G54" s="13"/>
      <c r="H54" s="13"/>
      <c r="I54" s="13"/>
      <c r="J54" s="13"/>
      <c r="K54" s="13"/>
    </row>
    <row r="55" spans="1:11" ht="12.75">
      <c r="A55" t="s">
        <v>175</v>
      </c>
      <c r="F55" s="3"/>
      <c r="G55" s="3" t="s">
        <v>0</v>
      </c>
      <c r="H55" s="3"/>
      <c r="I55" s="3"/>
      <c r="J55" s="3"/>
      <c r="K55" s="3"/>
    </row>
    <row r="56" spans="1:11" ht="12.75">
      <c r="A56" t="s">
        <v>176</v>
      </c>
      <c r="F56" s="3"/>
      <c r="G56" s="13"/>
      <c r="H56" s="13"/>
      <c r="I56" s="13"/>
      <c r="J56" s="13"/>
      <c r="K56" s="13"/>
    </row>
    <row r="57" spans="3:11" ht="12.75">
      <c r="C57" s="2" t="s">
        <v>181</v>
      </c>
      <c r="F57" s="3"/>
      <c r="G57" s="3" t="s">
        <v>3</v>
      </c>
      <c r="H57" s="3"/>
      <c r="I57" s="3"/>
      <c r="J57" s="3"/>
      <c r="K57" s="3"/>
    </row>
    <row r="58" spans="1:11" ht="12.75">
      <c r="A58" t="s">
        <v>177</v>
      </c>
      <c r="F58" s="3"/>
      <c r="G58" s="13"/>
      <c r="H58" s="13"/>
      <c r="I58" s="13"/>
      <c r="J58" s="13"/>
      <c r="K58" s="13"/>
    </row>
    <row r="59" spans="1:9" ht="12.75">
      <c r="A59" t="s">
        <v>178</v>
      </c>
      <c r="D59" s="3"/>
      <c r="E59" s="3"/>
      <c r="F59" s="3"/>
      <c r="G59" s="3" t="s">
        <v>1</v>
      </c>
      <c r="H59" s="3"/>
      <c r="I59" s="3" t="s">
        <v>2</v>
      </c>
    </row>
    <row r="60" spans="1:6" ht="12.75">
      <c r="A60" t="s">
        <v>179</v>
      </c>
      <c r="B60" s="3"/>
      <c r="C60" s="3"/>
      <c r="D60" s="3"/>
      <c r="E60" s="3"/>
      <c r="F60" s="3"/>
    </row>
    <row r="61" spans="1:6" ht="12.75">
      <c r="A61" t="s">
        <v>180</v>
      </c>
      <c r="B61" s="3"/>
      <c r="C61" s="3"/>
      <c r="D61" s="3"/>
      <c r="E61" s="3"/>
      <c r="F61" s="3"/>
    </row>
    <row r="62" spans="1:6" ht="18">
      <c r="A62" s="33" t="s">
        <v>121</v>
      </c>
      <c r="B62" s="3"/>
      <c r="C62" s="3"/>
      <c r="D62" s="3"/>
      <c r="E62" s="3"/>
      <c r="F62" s="3"/>
    </row>
    <row r="63" spans="1:6" ht="12.75">
      <c r="A63" s="41" t="s">
        <v>120</v>
      </c>
      <c r="B63" s="3"/>
      <c r="C63" s="3"/>
      <c r="D63" s="3"/>
      <c r="E63" s="3"/>
      <c r="F63" s="3"/>
    </row>
    <row r="64" ht="15">
      <c r="A64" s="8" t="s">
        <v>36</v>
      </c>
    </row>
    <row r="66" ht="12.75">
      <c r="A66" t="s">
        <v>105</v>
      </c>
    </row>
    <row r="67" ht="12.75">
      <c r="A67" t="s">
        <v>103</v>
      </c>
    </row>
    <row r="69" ht="12.75">
      <c r="A69" t="s">
        <v>104</v>
      </c>
    </row>
    <row r="71" ht="15">
      <c r="A71" s="8" t="s">
        <v>37</v>
      </c>
    </row>
    <row r="73" spans="1:11" ht="12.75">
      <c r="A73" s="11" t="s">
        <v>38</v>
      </c>
      <c r="B73" s="14"/>
      <c r="C73" s="11" t="s">
        <v>39</v>
      </c>
      <c r="D73" s="14"/>
      <c r="E73" s="4" t="s">
        <v>40</v>
      </c>
      <c r="F73" s="4"/>
      <c r="G73" s="14"/>
      <c r="H73" s="12" t="s">
        <v>41</v>
      </c>
      <c r="I73" s="15"/>
      <c r="J73" s="13" t="s">
        <v>106</v>
      </c>
      <c r="K73" s="4"/>
    </row>
    <row r="74" spans="1:11" ht="12.75">
      <c r="A74" s="25"/>
      <c r="B74" s="30"/>
      <c r="C74" s="25"/>
      <c r="D74" s="17"/>
      <c r="E74" s="6"/>
      <c r="F74" s="6"/>
      <c r="G74" s="17"/>
      <c r="H74" s="26"/>
      <c r="I74" s="27"/>
      <c r="J74" s="28"/>
      <c r="K74" s="6"/>
    </row>
    <row r="75" spans="1:11" ht="12.75">
      <c r="A75" s="4"/>
      <c r="B75" s="14"/>
      <c r="C75" s="4"/>
      <c r="D75" s="14"/>
      <c r="E75" s="4"/>
      <c r="F75" s="4"/>
      <c r="G75" s="14"/>
      <c r="H75" s="4"/>
      <c r="I75" s="14"/>
      <c r="J75" s="29" t="s">
        <v>42</v>
      </c>
      <c r="K75" s="29" t="s">
        <v>43</v>
      </c>
    </row>
    <row r="76" spans="1:11" ht="12.75">
      <c r="A76" s="6"/>
      <c r="B76" s="17"/>
      <c r="C76" s="6"/>
      <c r="D76" s="17"/>
      <c r="E76" s="6"/>
      <c r="F76" s="6"/>
      <c r="G76" s="17"/>
      <c r="H76" s="6"/>
      <c r="I76" s="17"/>
      <c r="J76" s="16"/>
      <c r="K76" s="16"/>
    </row>
    <row r="77" spans="1:11" ht="12.75">
      <c r="A77" s="4"/>
      <c r="B77" s="14"/>
      <c r="C77" s="4"/>
      <c r="D77" s="14"/>
      <c r="E77" s="4"/>
      <c r="F77" s="4"/>
      <c r="G77" s="14"/>
      <c r="H77" s="4"/>
      <c r="I77" s="14"/>
      <c r="J77" s="29" t="s">
        <v>42</v>
      </c>
      <c r="K77" s="29" t="s">
        <v>43</v>
      </c>
    </row>
    <row r="78" spans="1:11" ht="12.75">
      <c r="A78" s="6"/>
      <c r="B78" s="17"/>
      <c r="C78" s="6"/>
      <c r="D78" s="17"/>
      <c r="E78" s="6"/>
      <c r="F78" s="6"/>
      <c r="G78" s="17"/>
      <c r="H78" s="6"/>
      <c r="I78" s="17"/>
      <c r="J78" s="16"/>
      <c r="K78" s="16"/>
    </row>
    <row r="79" spans="1:11" ht="12.75">
      <c r="A79" s="4"/>
      <c r="B79" s="14"/>
      <c r="C79" s="4"/>
      <c r="D79" s="14"/>
      <c r="E79" s="4"/>
      <c r="F79" s="4"/>
      <c r="G79" s="14"/>
      <c r="H79" s="4"/>
      <c r="I79" s="14"/>
      <c r="J79" s="29" t="s">
        <v>42</v>
      </c>
      <c r="K79" s="29" t="s">
        <v>43</v>
      </c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16"/>
      <c r="K80" s="16"/>
    </row>
    <row r="81" spans="1:9" ht="15">
      <c r="A81" s="8" t="s">
        <v>107</v>
      </c>
      <c r="H81" s="10"/>
      <c r="I81" s="10"/>
    </row>
    <row r="82" spans="1:10" ht="12.75">
      <c r="A82" s="3" t="s">
        <v>44</v>
      </c>
      <c r="B82" s="3" t="s">
        <v>48</v>
      </c>
      <c r="C82" s="3"/>
      <c r="D82" s="3" t="s">
        <v>46</v>
      </c>
      <c r="E82" s="3" t="s">
        <v>49</v>
      </c>
      <c r="F82" s="3"/>
      <c r="G82" s="3"/>
      <c r="H82" s="3"/>
      <c r="I82" s="3"/>
      <c r="J82" s="3"/>
    </row>
    <row r="83" spans="1:10" ht="12.75">
      <c r="A83" s="3" t="s">
        <v>45</v>
      </c>
      <c r="B83" s="3" t="s">
        <v>47</v>
      </c>
      <c r="C83" s="3" t="s">
        <v>50</v>
      </c>
      <c r="D83" s="3"/>
      <c r="E83" s="3"/>
      <c r="F83" s="3" t="s">
        <v>51</v>
      </c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 t="s">
        <v>52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t="s">
        <v>165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t="s">
        <v>164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2" spans="1:4" ht="12.75">
      <c r="A92" s="2" t="s">
        <v>140</v>
      </c>
      <c r="D92" s="31" t="s">
        <v>141</v>
      </c>
    </row>
    <row r="93" spans="1:9" ht="12.75">
      <c r="A93" s="3" t="s">
        <v>53</v>
      </c>
      <c r="B93" s="3"/>
      <c r="D93" t="s">
        <v>136</v>
      </c>
      <c r="E93" s="3"/>
      <c r="G93" s="3" t="s">
        <v>56</v>
      </c>
      <c r="H93" s="3"/>
      <c r="I93" s="3"/>
    </row>
    <row r="94" spans="1:10" ht="12.75">
      <c r="A94" s="3" t="s">
        <v>122</v>
      </c>
      <c r="B94" s="3"/>
      <c r="D94" s="3" t="s">
        <v>58</v>
      </c>
      <c r="E94" s="3"/>
      <c r="G94" s="3" t="s">
        <v>60</v>
      </c>
      <c r="H94" s="3"/>
      <c r="I94" s="3"/>
      <c r="J94" s="3"/>
    </row>
    <row r="95" spans="1:9" ht="12.75">
      <c r="A95" s="3" t="s">
        <v>55</v>
      </c>
      <c r="B95" s="3"/>
      <c r="D95" s="3" t="s">
        <v>54</v>
      </c>
      <c r="E95" s="3"/>
      <c r="G95" t="s">
        <v>138</v>
      </c>
      <c r="H95" s="3"/>
      <c r="I95" s="3"/>
    </row>
    <row r="96" spans="1:9" ht="12.75">
      <c r="A96" t="s">
        <v>139</v>
      </c>
      <c r="B96" s="3"/>
      <c r="D96" s="3" t="s">
        <v>59</v>
      </c>
      <c r="E96" s="3"/>
      <c r="F96" s="3"/>
      <c r="G96" s="31" t="s">
        <v>143</v>
      </c>
      <c r="H96" s="3"/>
      <c r="I96" s="3"/>
    </row>
    <row r="97" spans="1:10" ht="12.75">
      <c r="A97" s="3" t="s">
        <v>57</v>
      </c>
      <c r="B97" s="3"/>
      <c r="D97" s="3"/>
      <c r="E97" s="3"/>
      <c r="G97" s="3"/>
      <c r="H97" s="3"/>
      <c r="I97" s="3"/>
      <c r="J97" s="3"/>
    </row>
    <row r="98" spans="1:4" ht="12.75">
      <c r="A98" t="s">
        <v>137</v>
      </c>
      <c r="D98" t="s">
        <v>124</v>
      </c>
    </row>
    <row r="99" ht="12.75">
      <c r="A99" s="40" t="s">
        <v>142</v>
      </c>
    </row>
    <row r="101" ht="12.75">
      <c r="A101" s="2" t="s">
        <v>74</v>
      </c>
    </row>
    <row r="102" spans="1:11" ht="12.75">
      <c r="A102" s="31" t="s">
        <v>96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>
      <c r="A103" s="31" t="s">
        <v>95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2.75">
      <c r="A105" s="31" t="s">
        <v>97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>
      <c r="A106" s="31" t="s">
        <v>70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2.75">
      <c r="A108" s="31" t="s">
        <v>75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2.75">
      <c r="A109" s="31" t="s">
        <v>76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>
      <c r="A110" s="31" t="s">
        <v>71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2.75">
      <c r="A112" s="31" t="s">
        <v>72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0" ht="12.75">
      <c r="A113" s="31" t="s">
        <v>61</v>
      </c>
      <c r="B113" s="31"/>
      <c r="C113" s="31"/>
      <c r="D113" s="31"/>
      <c r="F113" s="31"/>
      <c r="G113" s="31"/>
      <c r="H113" s="31"/>
      <c r="I113" s="31"/>
      <c r="J113" s="31"/>
    </row>
    <row r="114" spans="1:10" ht="12.75">
      <c r="A114" s="31" t="s">
        <v>166</v>
      </c>
      <c r="B114" s="31"/>
      <c r="C114" s="31"/>
      <c r="D114" s="31"/>
      <c r="F114" s="31"/>
      <c r="G114" s="31"/>
      <c r="H114" s="31"/>
      <c r="I114" s="31"/>
      <c r="J114" s="31"/>
    </row>
    <row r="115" spans="1:10" ht="12.75">
      <c r="A115" s="31" t="s">
        <v>145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2.75">
      <c r="A116" s="31" t="s">
        <v>146</v>
      </c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2.75">
      <c r="A117" s="31" t="s">
        <v>147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2.75">
      <c r="A118" s="31" t="s">
        <v>148</v>
      </c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12.75">
      <c r="A119" s="32" t="s">
        <v>167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2.75">
      <c r="A120" s="31" t="s">
        <v>168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2.75">
      <c r="A121" s="31" t="s">
        <v>169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ht="12.75">
      <c r="A122" s="31" t="s">
        <v>170</v>
      </c>
    </row>
    <row r="123" ht="12.75">
      <c r="A123" s="31" t="s">
        <v>171</v>
      </c>
    </row>
    <row r="124" ht="12.75">
      <c r="A124" s="31"/>
    </row>
    <row r="125" ht="12.75">
      <c r="A125" s="39" t="s">
        <v>118</v>
      </c>
    </row>
    <row r="126" ht="12.75">
      <c r="A126" s="40" t="s">
        <v>189</v>
      </c>
    </row>
    <row r="127" ht="12.75">
      <c r="A127" s="1"/>
    </row>
    <row r="128" ht="12.75">
      <c r="A128" s="40" t="s">
        <v>186</v>
      </c>
    </row>
    <row r="129" ht="12.75">
      <c r="A129" s="40" t="s">
        <v>187</v>
      </c>
    </row>
    <row r="130" spans="1:6" ht="18">
      <c r="A130" s="40" t="s">
        <v>188</v>
      </c>
      <c r="B130" s="33"/>
      <c r="F130" s="1"/>
    </row>
    <row r="131" spans="1:6" ht="18">
      <c r="A131" s="1"/>
      <c r="B131" s="33"/>
      <c r="F131" s="1"/>
    </row>
    <row r="132" ht="12.75">
      <c r="A132" t="s">
        <v>79</v>
      </c>
    </row>
    <row r="133" ht="18">
      <c r="A133" s="33" t="s">
        <v>185</v>
      </c>
    </row>
    <row r="134" ht="12.75">
      <c r="A134" s="41" t="s">
        <v>190</v>
      </c>
    </row>
  </sheetData>
  <sheetProtection/>
  <printOptions/>
  <pageMargins left="0.75" right="0.75" top="1" bottom="1" header="0.5" footer="0.5"/>
  <pageSetup horizontalDpi="300" verticalDpi="300" orientation="portrait" scale="72" r:id="rId2"/>
  <rowBreaks count="1" manualBreakCount="1">
    <brk id="63" max="10" man="1"/>
  </rowBreaks>
  <colBreaks count="1" manualBreakCount="1">
    <brk id="11" max="116" man="1"/>
  </colBreaks>
  <customProperties>
    <customPr name="DVSECTION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31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1" max="11" width="9.7109375" style="0" customWidth="1"/>
  </cols>
  <sheetData>
    <row r="1" ht="16.5">
      <c r="G1" s="9" t="s">
        <v>80</v>
      </c>
    </row>
    <row r="2" ht="12.75">
      <c r="A2" s="42" t="s">
        <v>192</v>
      </c>
    </row>
    <row r="6" ht="15.75">
      <c r="A6" s="8" t="s">
        <v>4</v>
      </c>
    </row>
    <row r="10" spans="1:13" ht="15">
      <c r="A10" s="7" t="s">
        <v>16</v>
      </c>
      <c r="F10" s="2"/>
      <c r="K10" s="5"/>
      <c r="L10" s="6"/>
      <c r="M10" s="6"/>
    </row>
    <row r="11" spans="1:13" ht="15">
      <c r="A11" s="7"/>
      <c r="F11" s="2"/>
      <c r="G11" s="7"/>
      <c r="K11" s="5"/>
      <c r="L11" s="6"/>
      <c r="M11" s="6"/>
    </row>
    <row r="12" spans="1:13" ht="13.5">
      <c r="A12" s="44"/>
      <c r="B12" s="4"/>
      <c r="C12" s="4"/>
      <c r="D12" s="4"/>
      <c r="E12" s="4"/>
      <c r="F12" s="2"/>
      <c r="G12" s="7" t="s">
        <v>93</v>
      </c>
      <c r="K12" s="5"/>
      <c r="L12" s="6"/>
      <c r="M12" s="6"/>
    </row>
    <row r="13" spans="1:13" ht="12.75">
      <c r="A13" s="6" t="s">
        <v>134</v>
      </c>
      <c r="F13" s="2"/>
      <c r="G13" s="2"/>
      <c r="K13" s="5"/>
      <c r="L13" s="6"/>
      <c r="M13" s="6"/>
    </row>
    <row r="14" spans="1:14" ht="12.75">
      <c r="A14" s="4"/>
      <c r="B14" s="4"/>
      <c r="C14" s="4"/>
      <c r="D14" s="4"/>
      <c r="E14" s="4"/>
      <c r="G14" s="4"/>
      <c r="H14" s="4"/>
      <c r="I14" s="4"/>
      <c r="J14" s="4"/>
      <c r="K14" s="4"/>
      <c r="L14" s="6"/>
      <c r="M14" s="6"/>
      <c r="N14" s="6"/>
    </row>
    <row r="15" spans="1:14" ht="12.75">
      <c r="A15" s="28" t="s">
        <v>0</v>
      </c>
      <c r="B15" s="28"/>
      <c r="C15" s="28"/>
      <c r="D15" s="3"/>
      <c r="E15" s="3"/>
      <c r="F15" s="3"/>
      <c r="G15" s="28" t="s">
        <v>0</v>
      </c>
      <c r="H15" s="28"/>
      <c r="I15" s="28"/>
      <c r="J15" s="3"/>
      <c r="K15" s="28"/>
      <c r="L15" s="6"/>
      <c r="M15" s="6"/>
      <c r="N15" s="6"/>
    </row>
    <row r="16" spans="1:14" ht="12.75">
      <c r="A16" s="13"/>
      <c r="B16" s="13"/>
      <c r="C16" s="13"/>
      <c r="D16" s="13"/>
      <c r="E16" s="13"/>
      <c r="F16" s="3"/>
      <c r="G16" s="13"/>
      <c r="H16" s="13"/>
      <c r="I16" s="13"/>
      <c r="J16" s="13"/>
      <c r="K16" s="13"/>
      <c r="L16" s="6"/>
      <c r="M16" s="6"/>
      <c r="N16" s="6"/>
    </row>
    <row r="17" spans="1:14" ht="12.75">
      <c r="A17" s="3" t="s">
        <v>3</v>
      </c>
      <c r="B17" s="3"/>
      <c r="C17" s="3"/>
      <c r="D17" s="3"/>
      <c r="E17" s="3"/>
      <c r="F17" s="3"/>
      <c r="G17" s="3" t="s">
        <v>3</v>
      </c>
      <c r="H17" s="3"/>
      <c r="I17" s="3"/>
      <c r="J17" s="3"/>
      <c r="K17" s="28"/>
      <c r="L17" s="5"/>
      <c r="M17" s="5"/>
      <c r="N17" s="6"/>
    </row>
    <row r="18" spans="1:14" ht="12.75">
      <c r="A18" s="13"/>
      <c r="B18" s="13"/>
      <c r="C18" s="13"/>
      <c r="D18" s="13"/>
      <c r="E18" s="13"/>
      <c r="F18" s="3"/>
      <c r="G18" s="13"/>
      <c r="H18" s="13"/>
      <c r="I18" s="13"/>
      <c r="J18" s="13"/>
      <c r="K18" s="13"/>
      <c r="L18" s="6"/>
      <c r="M18" s="6"/>
      <c r="N18" s="6"/>
    </row>
    <row r="19" spans="1:14" ht="12.75">
      <c r="A19" s="3" t="s">
        <v>1</v>
      </c>
      <c r="B19" s="3"/>
      <c r="C19" s="3" t="s">
        <v>2</v>
      </c>
      <c r="D19" s="3"/>
      <c r="E19" s="3"/>
      <c r="F19" s="3"/>
      <c r="G19" s="3" t="s">
        <v>1</v>
      </c>
      <c r="H19" s="3"/>
      <c r="I19" s="3" t="s">
        <v>2</v>
      </c>
      <c r="J19" s="3"/>
      <c r="K19" s="28"/>
      <c r="L19" s="6"/>
      <c r="M19" s="6"/>
      <c r="N19" s="6"/>
    </row>
    <row r="20" spans="1:14" ht="12.75">
      <c r="A20" s="13"/>
      <c r="B20" s="13"/>
      <c r="C20" s="13"/>
      <c r="D20" s="13"/>
      <c r="E20" s="13"/>
      <c r="F20" s="3"/>
      <c r="G20" s="13"/>
      <c r="H20" s="13"/>
      <c r="I20" s="13"/>
      <c r="J20" s="13"/>
      <c r="K20" s="13"/>
      <c r="L20" s="6"/>
      <c r="M20" s="6"/>
      <c r="N20" s="6"/>
    </row>
    <row r="21" spans="1:14" ht="12.75">
      <c r="A21" s="3" t="s">
        <v>99</v>
      </c>
      <c r="B21" s="3"/>
      <c r="C21" s="3"/>
      <c r="D21" s="3"/>
      <c r="E21" s="3"/>
      <c r="F21" s="3"/>
      <c r="G21" s="3" t="s">
        <v>11</v>
      </c>
      <c r="H21" s="3"/>
      <c r="I21" s="3"/>
      <c r="J21" s="3"/>
      <c r="K21" s="28"/>
      <c r="L21" s="6"/>
      <c r="M21" s="6"/>
      <c r="N21" s="6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28"/>
      <c r="L22" s="6"/>
      <c r="M22" s="6"/>
      <c r="N22" s="6"/>
    </row>
    <row r="23" spans="1:11" ht="12.75">
      <c r="A23" s="36" t="s">
        <v>14</v>
      </c>
      <c r="B23" s="28"/>
      <c r="C23" s="28"/>
      <c r="D23" s="28"/>
      <c r="E23" s="28" t="s">
        <v>15</v>
      </c>
      <c r="F23" s="28"/>
      <c r="G23" s="6" t="s">
        <v>184</v>
      </c>
      <c r="H23" s="28"/>
      <c r="I23" s="28"/>
      <c r="J23" t="s">
        <v>183</v>
      </c>
      <c r="K23" s="3"/>
    </row>
    <row r="24" spans="1:11" ht="12.75">
      <c r="A24" s="28"/>
      <c r="B24" s="28"/>
      <c r="C24" s="28"/>
      <c r="D24" s="28"/>
      <c r="E24" s="28"/>
      <c r="F24" s="28"/>
      <c r="G24" s="28"/>
      <c r="H24" s="28"/>
      <c r="I24" s="28"/>
      <c r="J24" s="3"/>
      <c r="K24" s="3"/>
    </row>
    <row r="25" spans="1:11" ht="12.75">
      <c r="A25" s="3" t="s">
        <v>98</v>
      </c>
      <c r="B25" s="3"/>
      <c r="C25" s="28"/>
      <c r="D25" s="28"/>
      <c r="E25" s="3"/>
      <c r="F25" s="3"/>
      <c r="G25" s="3" t="s">
        <v>82</v>
      </c>
      <c r="H25" s="28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 t="s">
        <v>83</v>
      </c>
      <c r="B27" s="3"/>
      <c r="C27" s="3"/>
      <c r="D27" s="3"/>
      <c r="E27" s="3"/>
      <c r="F27" s="28"/>
      <c r="G27" s="28"/>
      <c r="H27" s="28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 t="s">
        <v>100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3" ht="15">
      <c r="A31" s="8" t="s">
        <v>5</v>
      </c>
      <c r="B31" s="1"/>
      <c r="C31" s="1"/>
    </row>
    <row r="33" ht="12.75">
      <c r="A33" t="s">
        <v>8</v>
      </c>
    </row>
    <row r="34" ht="12.75">
      <c r="A34" t="s">
        <v>6</v>
      </c>
    </row>
    <row r="35" ht="12.75">
      <c r="A35" t="s">
        <v>7</v>
      </c>
    </row>
    <row r="36" ht="12.75">
      <c r="A36" t="s">
        <v>101</v>
      </c>
    </row>
    <row r="37" ht="12.75">
      <c r="A37" t="s">
        <v>9</v>
      </c>
    </row>
    <row r="39" spans="1:7" ht="13.5">
      <c r="A39" s="7" t="s">
        <v>10</v>
      </c>
      <c r="G39" s="7" t="s">
        <v>13</v>
      </c>
    </row>
    <row r="41" spans="1:11" ht="12.75">
      <c r="A41" s="13"/>
      <c r="B41" s="13"/>
      <c r="C41" s="13"/>
      <c r="D41" s="13"/>
      <c r="E41" s="13"/>
      <c r="F41" s="28"/>
      <c r="G41" s="13"/>
      <c r="H41" s="13"/>
      <c r="I41" s="13"/>
      <c r="J41" s="13"/>
      <c r="K41" s="13"/>
    </row>
    <row r="42" spans="1:11" ht="12.75">
      <c r="A42" s="3" t="s">
        <v>12</v>
      </c>
      <c r="B42" s="3"/>
      <c r="C42" s="3" t="s">
        <v>102</v>
      </c>
      <c r="D42" s="3"/>
      <c r="E42" s="3"/>
      <c r="F42" s="3"/>
      <c r="G42" s="3" t="s">
        <v>12</v>
      </c>
      <c r="H42" s="3"/>
      <c r="I42" s="3" t="s">
        <v>102</v>
      </c>
      <c r="J42" s="3"/>
      <c r="K42" s="3"/>
    </row>
    <row r="43" spans="1:11" ht="12.75">
      <c r="A43" s="13"/>
      <c r="B43" s="13"/>
      <c r="C43" s="13"/>
      <c r="D43" s="13"/>
      <c r="E43" s="13"/>
      <c r="F43" s="3"/>
      <c r="G43" s="13"/>
      <c r="H43" s="13"/>
      <c r="I43" s="13"/>
      <c r="J43" s="13"/>
      <c r="K43" s="13"/>
    </row>
    <row r="44" spans="1:11" ht="12.75">
      <c r="A44" s="3" t="s">
        <v>0</v>
      </c>
      <c r="B44" s="3"/>
      <c r="C44" s="3"/>
      <c r="D44" s="3"/>
      <c r="E44" s="3"/>
      <c r="F44" s="3"/>
      <c r="G44" s="3" t="s">
        <v>0</v>
      </c>
      <c r="H44" s="3"/>
      <c r="I44" s="3"/>
      <c r="J44" s="3"/>
      <c r="K44" s="3"/>
    </row>
    <row r="45" spans="1:11" ht="12.75">
      <c r="A45" s="13"/>
      <c r="B45" s="13"/>
      <c r="C45" s="13"/>
      <c r="D45" s="13"/>
      <c r="E45" s="13"/>
      <c r="F45" s="3"/>
      <c r="G45" s="13"/>
      <c r="H45" s="13"/>
      <c r="I45" s="13"/>
      <c r="J45" s="13"/>
      <c r="K45" s="13"/>
    </row>
    <row r="46" spans="1:11" ht="12.75">
      <c r="A46" s="3" t="s">
        <v>3</v>
      </c>
      <c r="B46" s="3"/>
      <c r="C46" s="3"/>
      <c r="D46" s="3"/>
      <c r="E46" s="3"/>
      <c r="F46" s="3"/>
      <c r="G46" s="3" t="s">
        <v>3</v>
      </c>
      <c r="H46" s="3"/>
      <c r="I46" s="3"/>
      <c r="J46" s="3"/>
      <c r="K46" s="3"/>
    </row>
    <row r="47" spans="1:11" ht="12.75">
      <c r="A47" s="13"/>
      <c r="B47" s="13"/>
      <c r="C47" s="13"/>
      <c r="D47" s="13"/>
      <c r="E47" s="13"/>
      <c r="F47" s="3"/>
      <c r="G47" s="13"/>
      <c r="H47" s="13"/>
      <c r="I47" s="13"/>
      <c r="J47" s="13"/>
      <c r="K47" s="13"/>
    </row>
    <row r="48" spans="1:11" ht="12.75">
      <c r="A48" s="3" t="s">
        <v>1</v>
      </c>
      <c r="B48" s="3"/>
      <c r="C48" s="3" t="s">
        <v>2</v>
      </c>
      <c r="D48" s="3"/>
      <c r="E48" s="3"/>
      <c r="F48" s="3"/>
      <c r="G48" s="3" t="s">
        <v>1</v>
      </c>
      <c r="H48" s="3"/>
      <c r="I48" s="3" t="s">
        <v>2</v>
      </c>
      <c r="J48" s="3"/>
      <c r="K48" s="3"/>
    </row>
    <row r="50" ht="13.5">
      <c r="G50" s="7" t="s">
        <v>94</v>
      </c>
    </row>
    <row r="52" spans="6:11" ht="12.75">
      <c r="F52" s="3"/>
      <c r="G52" s="13"/>
      <c r="H52" s="13"/>
      <c r="I52" s="13"/>
      <c r="J52" s="13"/>
      <c r="K52" s="13"/>
    </row>
    <row r="53" spans="6:11" ht="12.75">
      <c r="F53" s="3"/>
      <c r="G53" s="3" t="s">
        <v>12</v>
      </c>
      <c r="H53" s="3"/>
      <c r="I53" s="3" t="s">
        <v>102</v>
      </c>
      <c r="J53" s="3"/>
      <c r="K53" s="3"/>
    </row>
    <row r="54" spans="6:11" ht="12.75">
      <c r="F54" s="3"/>
      <c r="G54" s="13"/>
      <c r="H54" s="13"/>
      <c r="I54" s="13"/>
      <c r="J54" s="13"/>
      <c r="K54" s="13"/>
    </row>
    <row r="55" spans="6:11" ht="12.75">
      <c r="F55" s="3"/>
      <c r="G55" s="3" t="s">
        <v>0</v>
      </c>
      <c r="H55" s="3"/>
      <c r="I55" s="3"/>
      <c r="J55" s="3"/>
      <c r="K55" s="3"/>
    </row>
    <row r="56" spans="6:11" ht="12.75">
      <c r="F56" s="3"/>
      <c r="G56" s="13"/>
      <c r="H56" s="13"/>
      <c r="I56" s="13"/>
      <c r="J56" s="13"/>
      <c r="K56" s="13"/>
    </row>
    <row r="57" spans="6:11" ht="12.75">
      <c r="F57" s="3"/>
      <c r="G57" s="3" t="s">
        <v>3</v>
      </c>
      <c r="H57" s="3"/>
      <c r="I57" s="3"/>
      <c r="J57" s="3"/>
      <c r="K57" s="3"/>
    </row>
    <row r="58" spans="6:11" ht="12.75">
      <c r="F58" s="3"/>
      <c r="G58" s="13"/>
      <c r="H58" s="13"/>
      <c r="I58" s="13"/>
      <c r="J58" s="13"/>
      <c r="K58" s="13"/>
    </row>
    <row r="59" spans="4:9" ht="12.75">
      <c r="D59" s="3"/>
      <c r="E59" s="3"/>
      <c r="F59" s="3"/>
      <c r="G59" s="3" t="s">
        <v>1</v>
      </c>
      <c r="H59" s="3"/>
      <c r="I59" s="3" t="s">
        <v>2</v>
      </c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1:6" ht="18">
      <c r="A62" s="33" t="s">
        <v>121</v>
      </c>
      <c r="B62" s="3"/>
      <c r="C62" s="3"/>
      <c r="D62" s="3"/>
      <c r="E62" s="3"/>
      <c r="F62" s="3"/>
    </row>
    <row r="63" spans="1:6" ht="12.75">
      <c r="A63" s="41" t="s">
        <v>120</v>
      </c>
      <c r="B63" s="3"/>
      <c r="C63" s="3"/>
      <c r="D63" s="3"/>
      <c r="E63" s="3"/>
      <c r="F63" s="3"/>
    </row>
    <row r="64" ht="15">
      <c r="A64" s="8" t="s">
        <v>36</v>
      </c>
    </row>
    <row r="66" ht="12.75">
      <c r="A66" t="s">
        <v>105</v>
      </c>
    </row>
    <row r="67" ht="12.75">
      <c r="A67" t="s">
        <v>103</v>
      </c>
    </row>
    <row r="69" ht="12.75">
      <c r="A69" t="s">
        <v>104</v>
      </c>
    </row>
    <row r="71" ht="15">
      <c r="A71" s="8" t="s">
        <v>37</v>
      </c>
    </row>
    <row r="73" spans="1:11" ht="12.75">
      <c r="A73" s="11" t="s">
        <v>38</v>
      </c>
      <c r="B73" s="14"/>
      <c r="C73" s="11" t="s">
        <v>39</v>
      </c>
      <c r="D73" s="14"/>
      <c r="E73" s="4" t="s">
        <v>40</v>
      </c>
      <c r="F73" s="4"/>
      <c r="G73" s="14"/>
      <c r="H73" s="12" t="s">
        <v>41</v>
      </c>
      <c r="I73" s="15"/>
      <c r="J73" s="13" t="s">
        <v>106</v>
      </c>
      <c r="K73" s="4"/>
    </row>
    <row r="74" spans="1:11" ht="12.75">
      <c r="A74" s="25"/>
      <c r="B74" s="30"/>
      <c r="C74" s="25"/>
      <c r="D74" s="17"/>
      <c r="E74" s="6"/>
      <c r="F74" s="6"/>
      <c r="G74" s="17"/>
      <c r="H74" s="26"/>
      <c r="I74" s="27"/>
      <c r="J74" s="28"/>
      <c r="K74" s="6"/>
    </row>
    <row r="75" spans="1:11" ht="12.75">
      <c r="A75" s="4"/>
      <c r="B75" s="14"/>
      <c r="C75" s="4"/>
      <c r="D75" s="14"/>
      <c r="E75" s="4"/>
      <c r="F75" s="4"/>
      <c r="G75" s="14"/>
      <c r="H75" s="4"/>
      <c r="I75" s="14"/>
      <c r="J75" s="29" t="s">
        <v>42</v>
      </c>
      <c r="K75" s="29" t="s">
        <v>43</v>
      </c>
    </row>
    <row r="76" spans="1:11" ht="12.75">
      <c r="A76" s="6"/>
      <c r="B76" s="17"/>
      <c r="C76" s="6"/>
      <c r="D76" s="17"/>
      <c r="E76" s="6"/>
      <c r="F76" s="6"/>
      <c r="G76" s="17"/>
      <c r="H76" s="6"/>
      <c r="I76" s="17"/>
      <c r="J76" s="16"/>
      <c r="K76" s="16"/>
    </row>
    <row r="77" spans="1:11" ht="12.75">
      <c r="A77" s="4"/>
      <c r="B77" s="14"/>
      <c r="C77" s="4"/>
      <c r="D77" s="14"/>
      <c r="E77" s="4"/>
      <c r="F77" s="4"/>
      <c r="G77" s="14"/>
      <c r="H77" s="4"/>
      <c r="I77" s="14"/>
      <c r="J77" s="29" t="s">
        <v>42</v>
      </c>
      <c r="K77" s="29" t="s">
        <v>43</v>
      </c>
    </row>
    <row r="78" spans="1:11" ht="12.75">
      <c r="A78" s="6"/>
      <c r="B78" s="17"/>
      <c r="C78" s="6"/>
      <c r="D78" s="17"/>
      <c r="E78" s="6"/>
      <c r="F78" s="6"/>
      <c r="G78" s="17"/>
      <c r="H78" s="6"/>
      <c r="I78" s="17"/>
      <c r="J78" s="16"/>
      <c r="K78" s="16"/>
    </row>
    <row r="79" spans="1:11" ht="12.75">
      <c r="A79" s="4"/>
      <c r="B79" s="14"/>
      <c r="C79" s="4"/>
      <c r="D79" s="14"/>
      <c r="E79" s="4"/>
      <c r="F79" s="4"/>
      <c r="G79" s="14"/>
      <c r="H79" s="4"/>
      <c r="I79" s="14"/>
      <c r="J79" s="29" t="s">
        <v>42</v>
      </c>
      <c r="K79" s="29" t="s">
        <v>43</v>
      </c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16"/>
      <c r="K80" s="16"/>
    </row>
    <row r="81" spans="1:9" ht="15">
      <c r="A81" s="8" t="s">
        <v>107</v>
      </c>
      <c r="H81" s="10"/>
      <c r="I81" s="10"/>
    </row>
    <row r="82" spans="1:10" ht="12.75">
      <c r="A82" s="3" t="s">
        <v>44</v>
      </c>
      <c r="B82" s="3" t="s">
        <v>48</v>
      </c>
      <c r="C82" s="3"/>
      <c r="D82" s="3" t="s">
        <v>46</v>
      </c>
      <c r="E82" s="3" t="s">
        <v>49</v>
      </c>
      <c r="F82" s="3"/>
      <c r="G82" s="3"/>
      <c r="H82" s="3"/>
      <c r="I82" s="3"/>
      <c r="J82" s="3"/>
    </row>
    <row r="83" spans="1:10" ht="12.75">
      <c r="A83" s="3" t="s">
        <v>45</v>
      </c>
      <c r="B83" s="3" t="s">
        <v>47</v>
      </c>
      <c r="C83" s="3" t="s">
        <v>50</v>
      </c>
      <c r="D83" s="3"/>
      <c r="E83" s="3"/>
      <c r="F83" s="3" t="s">
        <v>51</v>
      </c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 t="s">
        <v>52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t="s">
        <v>135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1" spans="1:4" ht="12.75">
      <c r="A91" s="2" t="s">
        <v>140</v>
      </c>
      <c r="D91" s="31" t="s">
        <v>141</v>
      </c>
    </row>
    <row r="92" spans="1:9" ht="12.75">
      <c r="A92" s="3" t="s">
        <v>53</v>
      </c>
      <c r="B92" s="3"/>
      <c r="D92" t="s">
        <v>136</v>
      </c>
      <c r="E92" s="3"/>
      <c r="G92" s="3" t="s">
        <v>56</v>
      </c>
      <c r="H92" s="3"/>
      <c r="I92" s="3"/>
    </row>
    <row r="93" spans="1:10" ht="12.75">
      <c r="A93" s="3" t="s">
        <v>122</v>
      </c>
      <c r="B93" s="3"/>
      <c r="D93" s="3" t="s">
        <v>58</v>
      </c>
      <c r="E93" s="3"/>
      <c r="G93" s="3" t="s">
        <v>60</v>
      </c>
      <c r="H93" s="3"/>
      <c r="I93" s="3"/>
      <c r="J93" s="3"/>
    </row>
    <row r="94" spans="1:9" ht="12.75">
      <c r="A94" s="3" t="s">
        <v>55</v>
      </c>
      <c r="B94" s="3"/>
      <c r="D94" s="3" t="s">
        <v>54</v>
      </c>
      <c r="E94" s="3"/>
      <c r="G94" t="s">
        <v>138</v>
      </c>
      <c r="H94" s="3"/>
      <c r="I94" s="3"/>
    </row>
    <row r="95" spans="1:9" ht="12.75">
      <c r="A95" t="s">
        <v>139</v>
      </c>
      <c r="B95" s="3"/>
      <c r="D95" s="3" t="s">
        <v>59</v>
      </c>
      <c r="E95" s="3"/>
      <c r="F95" s="3"/>
      <c r="G95" s="31" t="s">
        <v>143</v>
      </c>
      <c r="H95" s="3"/>
      <c r="I95" s="3"/>
    </row>
    <row r="96" spans="1:10" ht="12.75">
      <c r="A96" s="3" t="s">
        <v>57</v>
      </c>
      <c r="B96" s="3"/>
      <c r="D96" s="3"/>
      <c r="E96" s="3"/>
      <c r="G96" s="3"/>
      <c r="H96" s="3"/>
      <c r="I96" s="3"/>
      <c r="J96" s="3"/>
    </row>
    <row r="97" spans="1:4" ht="12.75">
      <c r="A97" t="s">
        <v>137</v>
      </c>
      <c r="D97" t="s">
        <v>124</v>
      </c>
    </row>
    <row r="98" ht="12.75">
      <c r="A98" s="40" t="s">
        <v>142</v>
      </c>
    </row>
    <row r="100" ht="12.75">
      <c r="A100" s="2" t="s">
        <v>74</v>
      </c>
    </row>
    <row r="101" spans="1:11" ht="12.75">
      <c r="A101" s="31" t="s">
        <v>96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2.75">
      <c r="A102" s="31" t="s">
        <v>95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2.75">
      <c r="A104" s="31" t="s">
        <v>97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2.75">
      <c r="A105" s="31" t="s">
        <v>70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2.75">
      <c r="A107" s="31" t="s">
        <v>75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2.75">
      <c r="A108" s="31" t="s">
        <v>76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2.75">
      <c r="A109" s="31" t="s">
        <v>71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2.75">
      <c r="A111" s="31" t="s">
        <v>72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0" ht="12.75">
      <c r="A112" s="31" t="s">
        <v>61</v>
      </c>
      <c r="B112" s="31"/>
      <c r="C112" s="31"/>
      <c r="D112" s="31"/>
      <c r="F112" s="31"/>
      <c r="G112" s="31"/>
      <c r="H112" s="31"/>
      <c r="I112" s="31"/>
      <c r="J112" s="31"/>
    </row>
    <row r="113" spans="1:10" ht="12.75">
      <c r="A113" s="31" t="s">
        <v>144</v>
      </c>
      <c r="B113" s="31"/>
      <c r="C113" s="31"/>
      <c r="D113" s="31"/>
      <c r="F113" s="31"/>
      <c r="G113" s="31"/>
      <c r="H113" s="31"/>
      <c r="I113" s="31"/>
      <c r="J113" s="31"/>
    </row>
    <row r="114" spans="1:10" ht="12.75">
      <c r="A114" s="31" t="s">
        <v>145</v>
      </c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2.75">
      <c r="A115" s="31" t="s">
        <v>146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2.75">
      <c r="A116" s="31" t="s">
        <v>147</v>
      </c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2.75">
      <c r="A117" s="31" t="s">
        <v>148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2.75">
      <c r="A118" s="32" t="s">
        <v>149</v>
      </c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12.75">
      <c r="A119" s="31" t="s">
        <v>150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2.75">
      <c r="A120" s="31" t="s">
        <v>151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2" ht="12.75">
      <c r="A122" s="39" t="s">
        <v>118</v>
      </c>
    </row>
    <row r="123" ht="12.75">
      <c r="A123" s="40" t="s">
        <v>189</v>
      </c>
    </row>
    <row r="124" ht="12.75">
      <c r="A124" s="1"/>
    </row>
    <row r="125" ht="12.75">
      <c r="A125" s="40" t="s">
        <v>186</v>
      </c>
    </row>
    <row r="126" ht="12.75">
      <c r="A126" s="40" t="s">
        <v>187</v>
      </c>
    </row>
    <row r="127" spans="1:6" ht="13.5" customHeight="1">
      <c r="A127" s="40" t="s">
        <v>188</v>
      </c>
      <c r="B127" s="33"/>
      <c r="F127" s="1"/>
    </row>
    <row r="128" spans="1:6" ht="13.5" customHeight="1">
      <c r="A128" s="1"/>
      <c r="B128" s="33"/>
      <c r="F128" s="1"/>
    </row>
    <row r="129" ht="12.75">
      <c r="A129" t="s">
        <v>79</v>
      </c>
    </row>
    <row r="130" ht="18">
      <c r="A130" s="33" t="s">
        <v>185</v>
      </c>
    </row>
    <row r="131" ht="12.75">
      <c r="A131" s="42" t="s">
        <v>192</v>
      </c>
    </row>
  </sheetData>
  <sheetProtection/>
  <printOptions/>
  <pageMargins left="0.75" right="0.75" top="1" bottom="1" header="0.5" footer="0.5"/>
  <pageSetup horizontalDpi="300" verticalDpi="300" orientation="portrait" scale="75" r:id="rId2"/>
  <rowBreaks count="1" manualBreakCount="1">
    <brk id="63" max="10" man="1"/>
  </rowBreaks>
  <colBreaks count="1" manualBreakCount="1">
    <brk id="11" max="116" man="1"/>
  </colBreaks>
  <customProperties>
    <customPr name="DVSECTION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10"/>
  <sheetViews>
    <sheetView view="pageBreakPreview" zoomScaleSheetLayoutView="100" zoomScalePageLayoutView="0" workbookViewId="0" topLeftCell="A85">
      <selection activeCell="A2" sqref="A2"/>
    </sheetView>
  </sheetViews>
  <sheetFormatPr defaultColWidth="9.140625" defaultRowHeight="12.75"/>
  <cols>
    <col min="1" max="1" width="47.421875" style="0" customWidth="1"/>
    <col min="2" max="2" width="13.140625" style="0" bestFit="1" customWidth="1"/>
    <col min="3" max="3" width="21.57421875" style="0" bestFit="1" customWidth="1"/>
    <col min="4" max="4" width="12.57421875" style="0" bestFit="1" customWidth="1"/>
    <col min="5" max="5" width="9.8515625" style="0" customWidth="1"/>
    <col min="6" max="6" width="11.57421875" style="0" customWidth="1"/>
  </cols>
  <sheetData>
    <row r="1" ht="19.5">
      <c r="A1" s="33" t="s">
        <v>121</v>
      </c>
    </row>
    <row r="2" ht="12.75">
      <c r="A2" s="42" t="s">
        <v>192</v>
      </c>
    </row>
    <row r="3" ht="15.75">
      <c r="A3" s="34"/>
    </row>
    <row r="4" ht="19.5">
      <c r="A4" s="33" t="s">
        <v>73</v>
      </c>
    </row>
    <row r="5" ht="19.5">
      <c r="A5" s="33"/>
    </row>
    <row r="6" spans="1:8" ht="15.75">
      <c r="A6" s="8" t="s">
        <v>119</v>
      </c>
      <c r="B6" s="20"/>
      <c r="C6" s="20"/>
      <c r="D6" s="20"/>
      <c r="E6" s="20"/>
      <c r="F6" s="20"/>
      <c r="G6" s="20"/>
      <c r="H6" s="20"/>
    </row>
    <row r="7" spans="1:8" ht="15">
      <c r="A7" s="8"/>
      <c r="B7" s="20"/>
      <c r="C7" s="20"/>
      <c r="D7" s="20"/>
      <c r="E7" s="20"/>
      <c r="F7" s="20"/>
      <c r="G7" s="20"/>
      <c r="H7" s="20"/>
    </row>
    <row r="8" spans="1:8" ht="15">
      <c r="A8" s="20" t="s">
        <v>108</v>
      </c>
      <c r="B8" s="20"/>
      <c r="C8" s="20"/>
      <c r="D8" s="20"/>
      <c r="E8" s="20"/>
      <c r="F8" s="20"/>
      <c r="G8" s="20"/>
      <c r="H8" s="20"/>
    </row>
    <row r="9" spans="1:8" ht="15">
      <c r="A9" s="20" t="s">
        <v>110</v>
      </c>
      <c r="B9" s="20"/>
      <c r="C9" s="20"/>
      <c r="D9" s="20"/>
      <c r="E9" s="20"/>
      <c r="F9" s="20"/>
      <c r="G9" s="20"/>
      <c r="H9" s="20"/>
    </row>
    <row r="10" spans="1:8" ht="15">
      <c r="A10" s="20" t="s">
        <v>109</v>
      </c>
      <c r="B10" s="20"/>
      <c r="C10" s="20"/>
      <c r="D10" s="20"/>
      <c r="E10" s="20"/>
      <c r="F10" s="20"/>
      <c r="G10" s="20"/>
      <c r="H10" s="20"/>
    </row>
    <row r="11" spans="1:8" ht="15">
      <c r="A11" s="46" t="s">
        <v>163</v>
      </c>
      <c r="B11" s="20"/>
      <c r="C11" s="20"/>
      <c r="D11" s="20"/>
      <c r="E11" s="8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18" t="s">
        <v>22</v>
      </c>
      <c r="B13" s="18" t="s">
        <v>17</v>
      </c>
      <c r="C13" s="19" t="s">
        <v>18</v>
      </c>
      <c r="D13" s="19" t="s">
        <v>19</v>
      </c>
      <c r="E13" s="19" t="s">
        <v>20</v>
      </c>
      <c r="F13" s="19" t="s">
        <v>21</v>
      </c>
      <c r="G13" s="20"/>
      <c r="H13" s="20"/>
    </row>
    <row r="14" spans="1:8" ht="15">
      <c r="A14" s="21" t="s">
        <v>23</v>
      </c>
      <c r="B14" s="21"/>
      <c r="C14" s="22"/>
      <c r="D14" s="22"/>
      <c r="E14" s="22"/>
      <c r="F14" s="22"/>
      <c r="G14" s="20"/>
      <c r="H14" s="20"/>
    </row>
    <row r="15" spans="1:8" ht="15">
      <c r="A15" s="23" t="s">
        <v>24</v>
      </c>
      <c r="B15" s="23"/>
      <c r="C15" s="24"/>
      <c r="D15" s="24"/>
      <c r="E15" s="24"/>
      <c r="F15" s="24"/>
      <c r="G15" s="20"/>
      <c r="H15" s="20"/>
    </row>
    <row r="16" spans="1:8" ht="15">
      <c r="A16" s="21" t="s">
        <v>25</v>
      </c>
      <c r="B16" s="21"/>
      <c r="C16" s="22"/>
      <c r="D16" s="22"/>
      <c r="E16" s="22"/>
      <c r="F16" s="22"/>
      <c r="G16" s="20"/>
      <c r="H16" s="20"/>
    </row>
    <row r="17" spans="1:8" ht="15">
      <c r="A17" s="23" t="s">
        <v>26</v>
      </c>
      <c r="B17" s="23"/>
      <c r="C17" s="24"/>
      <c r="D17" s="24"/>
      <c r="E17" s="24"/>
      <c r="F17" s="24"/>
      <c r="G17" s="20"/>
      <c r="H17" s="20"/>
    </row>
    <row r="18" spans="1:8" ht="15">
      <c r="A18" s="21" t="s">
        <v>152</v>
      </c>
      <c r="B18" s="21"/>
      <c r="C18" s="22"/>
      <c r="D18" s="22"/>
      <c r="E18" s="22"/>
      <c r="F18" s="22"/>
      <c r="G18" s="20"/>
      <c r="H18" s="20"/>
    </row>
    <row r="19" spans="1:8" ht="15">
      <c r="A19" s="23" t="s">
        <v>32</v>
      </c>
      <c r="B19" s="23"/>
      <c r="C19" s="24"/>
      <c r="D19" s="24"/>
      <c r="E19" s="24"/>
      <c r="F19" s="24"/>
      <c r="G19" s="20"/>
      <c r="H19" s="20"/>
    </row>
    <row r="20" spans="1:8" ht="15">
      <c r="A20" s="21" t="s">
        <v>27</v>
      </c>
      <c r="B20" s="21"/>
      <c r="C20" s="22"/>
      <c r="D20" s="22"/>
      <c r="E20" s="22"/>
      <c r="F20" s="22"/>
      <c r="G20" s="20"/>
      <c r="H20" s="20"/>
    </row>
    <row r="21" spans="1:8" ht="15">
      <c r="A21" s="23" t="s">
        <v>28</v>
      </c>
      <c r="B21" s="23"/>
      <c r="C21" s="24"/>
      <c r="D21" s="24"/>
      <c r="E21" s="24"/>
      <c r="F21" s="24"/>
      <c r="G21" s="20"/>
      <c r="H21" s="20"/>
    </row>
    <row r="22" spans="1:8" ht="15">
      <c r="A22" s="21" t="s">
        <v>29</v>
      </c>
      <c r="B22" s="21"/>
      <c r="C22" s="22"/>
      <c r="D22" s="22"/>
      <c r="E22" s="22"/>
      <c r="F22" s="22"/>
      <c r="G22" s="20"/>
      <c r="H22" s="20"/>
    </row>
    <row r="23" spans="1:8" ht="15">
      <c r="A23" s="23" t="s">
        <v>33</v>
      </c>
      <c r="B23" s="23"/>
      <c r="C23" s="24"/>
      <c r="D23" s="24"/>
      <c r="E23" s="24"/>
      <c r="F23" s="24"/>
      <c r="G23" s="20"/>
      <c r="H23" s="20"/>
    </row>
    <row r="24" spans="1:8" ht="15">
      <c r="A24" s="21" t="s">
        <v>112</v>
      </c>
      <c r="B24" s="21"/>
      <c r="C24" s="22"/>
      <c r="D24" s="22"/>
      <c r="E24" s="22"/>
      <c r="F24" s="22"/>
      <c r="G24" s="20"/>
      <c r="H24" s="20"/>
    </row>
    <row r="25" spans="1:8" ht="15">
      <c r="A25" s="23" t="s">
        <v>30</v>
      </c>
      <c r="B25" s="23"/>
      <c r="C25" s="24"/>
      <c r="D25" s="24"/>
      <c r="E25" s="24"/>
      <c r="F25" s="24"/>
      <c r="G25" s="20"/>
      <c r="H25" s="20"/>
    </row>
    <row r="26" spans="1:8" ht="15">
      <c r="A26" s="21" t="s">
        <v>111</v>
      </c>
      <c r="B26" s="21"/>
      <c r="C26" s="22"/>
      <c r="D26" s="22"/>
      <c r="E26" s="22"/>
      <c r="F26" s="22"/>
      <c r="G26" s="20"/>
      <c r="H26" s="20"/>
    </row>
    <row r="27" spans="1:8" ht="15">
      <c r="A27" s="23" t="s">
        <v>66</v>
      </c>
      <c r="B27" s="23"/>
      <c r="C27" s="24"/>
      <c r="D27" s="24"/>
      <c r="E27" s="24"/>
      <c r="F27" s="24"/>
      <c r="G27" s="20"/>
      <c r="H27" s="20"/>
    </row>
    <row r="28" spans="1:8" ht="15">
      <c r="A28" s="21" t="s">
        <v>31</v>
      </c>
      <c r="B28" s="21"/>
      <c r="C28" s="22"/>
      <c r="D28" s="22"/>
      <c r="E28" s="22"/>
      <c r="F28" s="22"/>
      <c r="G28" s="20"/>
      <c r="H28" s="20"/>
    </row>
    <row r="29" spans="1:8" ht="15">
      <c r="A29" s="23" t="s">
        <v>67</v>
      </c>
      <c r="B29" s="23"/>
      <c r="C29" s="24"/>
      <c r="D29" s="24"/>
      <c r="E29" s="24"/>
      <c r="F29" s="24"/>
      <c r="G29" s="20"/>
      <c r="H29" s="20"/>
    </row>
    <row r="30" spans="1:8" ht="15">
      <c r="A30" s="21" t="s">
        <v>62</v>
      </c>
      <c r="B30" s="21"/>
      <c r="C30" s="22"/>
      <c r="D30" s="22"/>
      <c r="E30" s="22"/>
      <c r="F30" s="22"/>
      <c r="G30" s="20"/>
      <c r="H30" s="20"/>
    </row>
    <row r="31" spans="1:8" ht="15">
      <c r="A31" s="20"/>
      <c r="B31" s="20"/>
      <c r="C31" s="20"/>
      <c r="D31" s="20"/>
      <c r="E31" s="20"/>
      <c r="F31" s="20"/>
      <c r="G31" s="20"/>
      <c r="H31" s="20"/>
    </row>
    <row r="32" spans="1:8" ht="15">
      <c r="A32" s="20" t="s">
        <v>65</v>
      </c>
      <c r="B32" s="20"/>
      <c r="C32" s="20"/>
      <c r="D32" s="20"/>
      <c r="E32" s="20"/>
      <c r="F32" s="20"/>
      <c r="G32" s="20"/>
      <c r="H32" s="20"/>
    </row>
    <row r="33" spans="1:8" ht="15">
      <c r="A33" s="20"/>
      <c r="B33" s="20"/>
      <c r="C33" s="20"/>
      <c r="D33" s="20"/>
      <c r="E33" s="20"/>
      <c r="F33" s="20"/>
      <c r="G33" s="20"/>
      <c r="H33" s="20"/>
    </row>
    <row r="34" spans="1:8" ht="15">
      <c r="A34" s="20"/>
      <c r="B34" s="20"/>
      <c r="C34" s="20"/>
      <c r="D34" s="20"/>
      <c r="E34" s="20"/>
      <c r="F34" s="20"/>
      <c r="G34" s="20"/>
      <c r="H34" s="20"/>
    </row>
    <row r="35" spans="1:8" ht="15">
      <c r="A35" s="20"/>
      <c r="B35" s="20"/>
      <c r="C35" s="20"/>
      <c r="D35" s="20"/>
      <c r="E35" s="20"/>
      <c r="F35" s="20"/>
      <c r="G35" s="20"/>
      <c r="H35" s="20"/>
    </row>
    <row r="36" spans="1:8" ht="15">
      <c r="A36" s="20"/>
      <c r="B36" s="20"/>
      <c r="C36" s="20"/>
      <c r="D36" s="20"/>
      <c r="E36" s="20"/>
      <c r="F36" s="20"/>
      <c r="G36" s="20"/>
      <c r="H36" s="20"/>
    </row>
    <row r="37" spans="1:8" ht="17.25">
      <c r="A37" s="35" t="s">
        <v>64</v>
      </c>
      <c r="B37" s="20"/>
      <c r="C37" s="20"/>
      <c r="D37" s="20"/>
      <c r="E37" s="20"/>
      <c r="F37" s="20"/>
      <c r="G37" s="20"/>
      <c r="H37" s="20"/>
    </row>
    <row r="38" spans="1:8" ht="15">
      <c r="A38" s="20" t="s">
        <v>84</v>
      </c>
      <c r="B38" s="20"/>
      <c r="C38" s="20"/>
      <c r="D38" s="20"/>
      <c r="E38" s="20"/>
      <c r="F38" s="20"/>
      <c r="G38" s="20"/>
      <c r="H38" s="20"/>
    </row>
    <row r="39" spans="1:8" ht="15">
      <c r="A39" s="20"/>
      <c r="B39" s="20"/>
      <c r="C39" s="20"/>
      <c r="D39" s="20"/>
      <c r="E39" s="20"/>
      <c r="F39" s="20"/>
      <c r="G39" s="20"/>
      <c r="H39" s="20"/>
    </row>
    <row r="40" spans="1:8" ht="15">
      <c r="A40" s="20"/>
      <c r="B40" s="20"/>
      <c r="C40" s="20"/>
      <c r="D40" s="20"/>
      <c r="E40" s="20"/>
      <c r="F40" s="20"/>
      <c r="G40" s="20"/>
      <c r="H40" s="20"/>
    </row>
    <row r="41" spans="1:8" ht="15">
      <c r="A41" s="20"/>
      <c r="B41" s="20"/>
      <c r="C41" s="20"/>
      <c r="D41" s="20"/>
      <c r="E41" s="20"/>
      <c r="F41" s="20"/>
      <c r="G41" s="20"/>
      <c r="H41" s="20"/>
    </row>
    <row r="42" spans="1:8" ht="15">
      <c r="A42" s="20"/>
      <c r="B42" s="20"/>
      <c r="C42" s="20"/>
      <c r="D42" s="20"/>
      <c r="E42" s="20"/>
      <c r="F42" s="20"/>
      <c r="G42" s="20"/>
      <c r="H42" s="20"/>
    </row>
    <row r="43" spans="1:8" ht="15">
      <c r="A43" s="8" t="s">
        <v>117</v>
      </c>
      <c r="B43" s="20"/>
      <c r="C43" s="20"/>
      <c r="D43" s="20"/>
      <c r="E43" s="20"/>
      <c r="F43" s="20"/>
      <c r="G43" s="20"/>
      <c r="H43" s="20"/>
    </row>
    <row r="44" spans="1:8" ht="15">
      <c r="A44" s="20" t="s">
        <v>63</v>
      </c>
      <c r="B44" s="20"/>
      <c r="C44" s="20"/>
      <c r="D44" s="20"/>
      <c r="E44" s="20"/>
      <c r="F44" s="20"/>
      <c r="G44" s="20"/>
      <c r="H44" s="20"/>
    </row>
    <row r="45" spans="1:8" ht="15">
      <c r="A45" s="20"/>
      <c r="B45" s="20"/>
      <c r="C45" s="20"/>
      <c r="D45" s="20"/>
      <c r="E45" s="20"/>
      <c r="F45" s="20"/>
      <c r="G45" s="20"/>
      <c r="H45" s="20"/>
    </row>
    <row r="46" spans="1:8" ht="15">
      <c r="A46" s="20"/>
      <c r="B46" s="20"/>
      <c r="C46" s="20"/>
      <c r="D46" s="20"/>
      <c r="E46" s="20"/>
      <c r="F46" s="20"/>
      <c r="G46" s="20"/>
      <c r="H46" s="20"/>
    </row>
    <row r="47" spans="1:8" ht="15">
      <c r="A47" s="20"/>
      <c r="B47" s="20"/>
      <c r="C47" s="20"/>
      <c r="D47" s="20"/>
      <c r="E47" s="20"/>
      <c r="F47" s="20"/>
      <c r="G47" s="20"/>
      <c r="H47" s="20"/>
    </row>
    <row r="48" spans="1:8" ht="15">
      <c r="A48" s="20"/>
      <c r="B48" s="20"/>
      <c r="C48" s="20"/>
      <c r="D48" s="20"/>
      <c r="E48" s="20"/>
      <c r="F48" s="20"/>
      <c r="G48" s="20"/>
      <c r="H48" s="20"/>
    </row>
    <row r="49" spans="1:8" ht="15">
      <c r="A49" s="20" t="s">
        <v>34</v>
      </c>
      <c r="B49" s="20"/>
      <c r="C49" s="20"/>
      <c r="D49" s="20"/>
      <c r="E49" s="20"/>
      <c r="F49" s="20"/>
      <c r="G49" s="20"/>
      <c r="H49" s="20"/>
    </row>
    <row r="50" spans="1:8" ht="15">
      <c r="A50" s="20"/>
      <c r="B50" s="20"/>
      <c r="C50" s="20"/>
      <c r="D50" s="20"/>
      <c r="E50" s="20"/>
      <c r="F50" s="20"/>
      <c r="G50" s="20"/>
      <c r="H50" s="20"/>
    </row>
    <row r="51" spans="1:8" ht="15">
      <c r="A51" s="20"/>
      <c r="B51" s="20"/>
      <c r="C51" s="20"/>
      <c r="D51" s="20"/>
      <c r="E51" s="20"/>
      <c r="F51" s="20"/>
      <c r="G51" s="20"/>
      <c r="H51" s="20"/>
    </row>
    <row r="52" spans="1:8" ht="15">
      <c r="A52" s="20"/>
      <c r="B52" s="20"/>
      <c r="C52" s="20"/>
      <c r="D52" s="20"/>
      <c r="E52" s="20"/>
      <c r="F52" s="20"/>
      <c r="G52" s="20"/>
      <c r="H52" s="20"/>
    </row>
    <row r="53" spans="1:8" ht="15">
      <c r="A53" s="20"/>
      <c r="B53" s="20"/>
      <c r="C53" s="20"/>
      <c r="D53" s="20"/>
      <c r="E53" s="20"/>
      <c r="F53" s="20"/>
      <c r="G53" s="20"/>
      <c r="H53" s="20"/>
    </row>
    <row r="54" spans="1:8" ht="15">
      <c r="A54" s="8" t="s">
        <v>89</v>
      </c>
      <c r="B54" s="20"/>
      <c r="C54" s="20"/>
      <c r="D54" s="20"/>
      <c r="E54" s="20"/>
      <c r="F54" s="20"/>
      <c r="G54" s="20"/>
      <c r="H54" s="20"/>
    </row>
    <row r="55" spans="1:8" ht="15">
      <c r="A55" s="20" t="s">
        <v>35</v>
      </c>
      <c r="B55" s="20"/>
      <c r="C55" s="20"/>
      <c r="D55" s="20"/>
      <c r="E55" s="3" t="s">
        <v>85</v>
      </c>
      <c r="F55" s="20"/>
      <c r="G55" s="20"/>
      <c r="H55" s="20"/>
    </row>
    <row r="56" spans="1:8" ht="15">
      <c r="A56" s="20"/>
      <c r="B56" s="20"/>
      <c r="C56" s="20"/>
      <c r="D56" s="20"/>
      <c r="F56" s="20"/>
      <c r="G56" s="20"/>
      <c r="H56" s="20"/>
    </row>
    <row r="57" spans="1:8" ht="15">
      <c r="A57" s="20"/>
      <c r="B57" s="20"/>
      <c r="C57" s="20"/>
      <c r="D57" s="20"/>
      <c r="E57" s="20"/>
      <c r="F57" s="20"/>
      <c r="G57" s="20"/>
      <c r="H57" s="20"/>
    </row>
    <row r="58" spans="1:8" ht="15">
      <c r="A58" s="20"/>
      <c r="B58" s="20"/>
      <c r="C58" s="20"/>
      <c r="D58" s="20"/>
      <c r="F58" s="20"/>
      <c r="G58" s="20"/>
      <c r="H58" s="20"/>
    </row>
    <row r="59" spans="1:8" ht="15">
      <c r="A59" s="20" t="s">
        <v>113</v>
      </c>
      <c r="B59" s="20"/>
      <c r="C59" s="20"/>
      <c r="D59" s="20"/>
      <c r="E59" s="20"/>
      <c r="F59" s="20"/>
      <c r="G59" s="20"/>
      <c r="H59" s="20"/>
    </row>
    <row r="60" spans="1:8" ht="15">
      <c r="A60" s="20"/>
      <c r="B60" s="20"/>
      <c r="C60" s="20"/>
      <c r="D60" s="20"/>
      <c r="E60" s="20"/>
      <c r="F60" s="20"/>
      <c r="G60" s="20"/>
      <c r="H60" s="20"/>
    </row>
    <row r="61" spans="1:8" ht="15">
      <c r="A61" s="20"/>
      <c r="B61" s="20"/>
      <c r="C61" s="20"/>
      <c r="D61" s="20"/>
      <c r="E61" s="20"/>
      <c r="F61" s="20"/>
      <c r="G61" s="20"/>
      <c r="H61" s="20"/>
    </row>
    <row r="62" spans="1:8" ht="15">
      <c r="A62" s="20"/>
      <c r="B62" s="20"/>
      <c r="C62" s="20"/>
      <c r="D62" s="20"/>
      <c r="E62" s="20"/>
      <c r="F62" s="20"/>
      <c r="G62" s="20"/>
      <c r="H62" s="20"/>
    </row>
    <row r="63" spans="2:8" ht="15">
      <c r="B63" s="20"/>
      <c r="C63" s="20"/>
      <c r="D63" s="20"/>
      <c r="F63" s="20"/>
      <c r="G63" s="20"/>
      <c r="H63" s="20"/>
    </row>
    <row r="64" spans="1:8" ht="15">
      <c r="A64" s="8" t="s">
        <v>87</v>
      </c>
      <c r="B64" s="20"/>
      <c r="C64" s="20"/>
      <c r="D64" s="20"/>
      <c r="E64" s="1"/>
      <c r="F64" s="20"/>
      <c r="G64" s="20"/>
      <c r="H64" s="20"/>
    </row>
    <row r="65" spans="1:8" ht="15">
      <c r="A65" s="20" t="s">
        <v>115</v>
      </c>
      <c r="B65" s="20"/>
      <c r="C65" s="20"/>
      <c r="D65" s="20"/>
      <c r="E65" s="20"/>
      <c r="F65" s="20"/>
      <c r="G65" s="20"/>
      <c r="H65" s="20"/>
    </row>
    <row r="66" spans="1:8" ht="15">
      <c r="A66" s="20" t="s">
        <v>114</v>
      </c>
      <c r="B66" s="20"/>
      <c r="C66" s="20"/>
      <c r="D66" s="20"/>
      <c r="E66" s="20"/>
      <c r="F66" s="20"/>
      <c r="G66" s="20"/>
      <c r="H66" s="20"/>
    </row>
    <row r="67" spans="1:8" ht="15">
      <c r="A67" s="20"/>
      <c r="B67" s="20"/>
      <c r="C67" s="20"/>
      <c r="D67" s="20"/>
      <c r="E67" s="20"/>
      <c r="F67" s="20"/>
      <c r="G67" s="20"/>
      <c r="H67" s="20"/>
    </row>
    <row r="68" spans="1:8" ht="15">
      <c r="A68" s="20"/>
      <c r="B68" s="20"/>
      <c r="C68" s="20"/>
      <c r="D68" s="20"/>
      <c r="E68" s="20"/>
      <c r="F68" s="20"/>
      <c r="G68" s="20"/>
      <c r="H68" s="20"/>
    </row>
    <row r="69" spans="1:8" ht="15">
      <c r="A69" s="20"/>
      <c r="B69" s="20"/>
      <c r="C69" s="20"/>
      <c r="D69" s="20"/>
      <c r="E69" s="20"/>
      <c r="F69" s="20"/>
      <c r="G69" s="20"/>
      <c r="H69" s="20"/>
    </row>
    <row r="70" spans="1:8" ht="15">
      <c r="A70" s="20"/>
      <c r="B70" s="20"/>
      <c r="C70" s="20"/>
      <c r="D70" s="20"/>
      <c r="E70" s="20"/>
      <c r="F70" s="20"/>
      <c r="G70" s="20"/>
      <c r="H70" s="20"/>
    </row>
    <row r="71" spans="1:8" ht="15">
      <c r="A71" s="20"/>
      <c r="B71" s="20"/>
      <c r="C71" s="20"/>
      <c r="F71" s="20"/>
      <c r="G71" s="20"/>
      <c r="H71" s="20"/>
    </row>
    <row r="72" spans="1:8" ht="15">
      <c r="A72" s="20"/>
      <c r="B72" s="20"/>
      <c r="C72" s="20"/>
      <c r="F72" s="20"/>
      <c r="G72" s="20"/>
      <c r="H72" s="20"/>
    </row>
    <row r="73" spans="1:8" ht="15">
      <c r="A73" s="8" t="s">
        <v>88</v>
      </c>
      <c r="B73" s="20"/>
      <c r="C73" s="20"/>
      <c r="D73" s="20"/>
      <c r="E73" s="20"/>
      <c r="F73" s="20"/>
      <c r="G73" s="20"/>
      <c r="H73" s="20"/>
    </row>
    <row r="74" spans="1:8" ht="15">
      <c r="A74" s="20" t="s">
        <v>116</v>
      </c>
      <c r="B74" s="20"/>
      <c r="C74" s="20"/>
      <c r="D74" s="20"/>
      <c r="E74" s="20"/>
      <c r="F74" s="20"/>
      <c r="G74" s="20"/>
      <c r="H74" s="20"/>
    </row>
    <row r="75" spans="1:8" ht="15">
      <c r="A75" s="20" t="s">
        <v>86</v>
      </c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 t="s">
        <v>69</v>
      </c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 t="s">
        <v>68</v>
      </c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0"/>
      <c r="E92" s="20"/>
      <c r="F92" s="20"/>
      <c r="G92" s="20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46" t="s">
        <v>81</v>
      </c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 t="s">
        <v>91</v>
      </c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 t="s">
        <v>90</v>
      </c>
      <c r="B107" s="20"/>
      <c r="C107" s="20"/>
      <c r="D107" s="20"/>
      <c r="E107" s="20"/>
      <c r="F107" s="20"/>
      <c r="G107" s="20"/>
      <c r="H107" s="20"/>
    </row>
    <row r="110" ht="12.75">
      <c r="A110" s="38" t="s">
        <v>92</v>
      </c>
    </row>
  </sheetData>
  <sheetProtection/>
  <printOptions/>
  <pageMargins left="0.75" right="0.75" top="1" bottom="1" header="0.5" footer="0.5"/>
  <pageSetup horizontalDpi="300" verticalDpi="300" orientation="portrait" scale="78" r:id="rId2"/>
  <colBreaks count="1" manualBreakCount="1">
    <brk id="6" max="65535" man="1"/>
  </colBreaks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10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7.421875" style="0" customWidth="1"/>
    <col min="2" max="2" width="13.140625" style="0" bestFit="1" customWidth="1"/>
    <col min="3" max="3" width="21.57421875" style="0" bestFit="1" customWidth="1"/>
    <col min="4" max="4" width="12.57421875" style="0" bestFit="1" customWidth="1"/>
    <col min="5" max="5" width="9.8515625" style="0" customWidth="1"/>
    <col min="6" max="6" width="11.57421875" style="0" customWidth="1"/>
  </cols>
  <sheetData>
    <row r="1" ht="19.5">
      <c r="A1" s="33" t="s">
        <v>121</v>
      </c>
    </row>
    <row r="2" ht="12.75">
      <c r="A2" s="42" t="s">
        <v>192</v>
      </c>
    </row>
    <row r="3" ht="15.75">
      <c r="A3" s="34"/>
    </row>
    <row r="4" ht="19.5">
      <c r="A4" s="33" t="s">
        <v>73</v>
      </c>
    </row>
    <row r="5" ht="19.5">
      <c r="A5" s="33"/>
    </row>
    <row r="6" spans="1:8" ht="15.75">
      <c r="A6" s="8" t="s">
        <v>119</v>
      </c>
      <c r="B6" s="20"/>
      <c r="C6" s="20"/>
      <c r="D6" s="20"/>
      <c r="E6" s="20"/>
      <c r="F6" s="20"/>
      <c r="G6" s="20"/>
      <c r="H6" s="20"/>
    </row>
    <row r="7" spans="1:8" ht="15">
      <c r="A7" s="8"/>
      <c r="B7" s="20"/>
      <c r="C7" s="20"/>
      <c r="D7" s="20"/>
      <c r="E7" s="20"/>
      <c r="F7" s="20"/>
      <c r="G7" s="20"/>
      <c r="H7" s="20"/>
    </row>
    <row r="8" spans="1:8" ht="15">
      <c r="A8" s="20" t="s">
        <v>108</v>
      </c>
      <c r="B8" s="20"/>
      <c r="C8" s="20"/>
      <c r="D8" s="20"/>
      <c r="E8" s="20"/>
      <c r="F8" s="20"/>
      <c r="G8" s="20"/>
      <c r="H8" s="20"/>
    </row>
    <row r="9" spans="1:8" ht="15">
      <c r="A9" s="20" t="s">
        <v>110</v>
      </c>
      <c r="B9" s="20"/>
      <c r="C9" s="20"/>
      <c r="D9" s="20"/>
      <c r="E9" s="20"/>
      <c r="F9" s="20"/>
      <c r="G9" s="20"/>
      <c r="H9" s="20"/>
    </row>
    <row r="10" spans="1:8" ht="15">
      <c r="A10" s="20" t="s">
        <v>109</v>
      </c>
      <c r="B10" s="20"/>
      <c r="C10" s="20"/>
      <c r="D10" s="20"/>
      <c r="E10" s="20"/>
      <c r="F10" s="20"/>
      <c r="G10" s="20"/>
      <c r="H10" s="20"/>
    </row>
    <row r="11" spans="1:8" ht="15">
      <c r="A11" s="46" t="s">
        <v>163</v>
      </c>
      <c r="B11" s="20"/>
      <c r="C11" s="20"/>
      <c r="D11" s="2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18" t="s">
        <v>22</v>
      </c>
      <c r="B13" s="18" t="s">
        <v>17</v>
      </c>
      <c r="C13" s="19" t="s">
        <v>18</v>
      </c>
      <c r="D13" s="19" t="s">
        <v>19</v>
      </c>
      <c r="E13" s="19" t="s">
        <v>20</v>
      </c>
      <c r="F13" s="19" t="s">
        <v>21</v>
      </c>
      <c r="G13" s="20"/>
      <c r="H13" s="20"/>
    </row>
    <row r="14" spans="1:8" ht="15">
      <c r="A14" s="21" t="s">
        <v>23</v>
      </c>
      <c r="B14" s="21"/>
      <c r="C14" s="22"/>
      <c r="D14" s="22"/>
      <c r="E14" s="22"/>
      <c r="F14" s="22"/>
      <c r="G14" s="20"/>
      <c r="H14" s="20"/>
    </row>
    <row r="15" spans="1:8" ht="15">
      <c r="A15" s="23" t="s">
        <v>24</v>
      </c>
      <c r="B15" s="23"/>
      <c r="C15" s="24"/>
      <c r="D15" s="24"/>
      <c r="E15" s="24"/>
      <c r="F15" s="24"/>
      <c r="G15" s="20"/>
      <c r="H15" s="20"/>
    </row>
    <row r="16" spans="1:8" ht="15">
      <c r="A16" s="21" t="s">
        <v>25</v>
      </c>
      <c r="B16" s="21"/>
      <c r="C16" s="22"/>
      <c r="D16" s="22"/>
      <c r="E16" s="22"/>
      <c r="F16" s="22"/>
      <c r="G16" s="20"/>
      <c r="H16" s="20"/>
    </row>
    <row r="17" spans="1:8" ht="15">
      <c r="A17" s="23" t="s">
        <v>26</v>
      </c>
      <c r="B17" s="23"/>
      <c r="C17" s="24"/>
      <c r="D17" s="24"/>
      <c r="E17" s="24"/>
      <c r="F17" s="24"/>
      <c r="G17" s="20"/>
      <c r="H17" s="20"/>
    </row>
    <row r="18" spans="1:8" ht="15">
      <c r="A18" s="21" t="s">
        <v>152</v>
      </c>
      <c r="B18" s="21"/>
      <c r="C18" s="22"/>
      <c r="D18" s="22"/>
      <c r="E18" s="22"/>
      <c r="F18" s="22"/>
      <c r="G18" s="20"/>
      <c r="H18" s="20"/>
    </row>
    <row r="19" spans="1:8" ht="15">
      <c r="A19" s="23" t="s">
        <v>32</v>
      </c>
      <c r="B19" s="23"/>
      <c r="C19" s="24"/>
      <c r="D19" s="24"/>
      <c r="E19" s="24"/>
      <c r="F19" s="24"/>
      <c r="G19" s="20"/>
      <c r="H19" s="20"/>
    </row>
    <row r="20" spans="1:8" ht="15">
      <c r="A20" s="21" t="s">
        <v>27</v>
      </c>
      <c r="B20" s="21"/>
      <c r="C20" s="22"/>
      <c r="D20" s="22"/>
      <c r="E20" s="22"/>
      <c r="F20" s="22"/>
      <c r="G20" s="20"/>
      <c r="H20" s="20"/>
    </row>
    <row r="21" spans="1:8" ht="15">
      <c r="A21" s="23" t="s">
        <v>28</v>
      </c>
      <c r="B21" s="23"/>
      <c r="C21" s="24"/>
      <c r="D21" s="24"/>
      <c r="E21" s="24"/>
      <c r="F21" s="24"/>
      <c r="G21" s="20"/>
      <c r="H21" s="20"/>
    </row>
    <row r="22" spans="1:8" ht="15">
      <c r="A22" s="21" t="s">
        <v>29</v>
      </c>
      <c r="B22" s="21"/>
      <c r="C22" s="22"/>
      <c r="D22" s="22"/>
      <c r="E22" s="22"/>
      <c r="F22" s="22"/>
      <c r="G22" s="20"/>
      <c r="H22" s="20"/>
    </row>
    <row r="23" spans="1:8" ht="15">
      <c r="A23" s="23" t="s">
        <v>33</v>
      </c>
      <c r="B23" s="23"/>
      <c r="C23" s="24"/>
      <c r="D23" s="24"/>
      <c r="E23" s="24"/>
      <c r="F23" s="24"/>
      <c r="G23" s="20"/>
      <c r="H23" s="20"/>
    </row>
    <row r="24" spans="1:8" ht="15">
      <c r="A24" s="21" t="s">
        <v>112</v>
      </c>
      <c r="B24" s="21"/>
      <c r="C24" s="22"/>
      <c r="D24" s="22"/>
      <c r="E24" s="22"/>
      <c r="F24" s="22"/>
      <c r="G24" s="20"/>
      <c r="H24" s="20"/>
    </row>
    <row r="25" spans="1:8" ht="15">
      <c r="A25" s="23" t="s">
        <v>30</v>
      </c>
      <c r="B25" s="23"/>
      <c r="C25" s="24"/>
      <c r="D25" s="24"/>
      <c r="E25" s="24"/>
      <c r="F25" s="24"/>
      <c r="G25" s="20"/>
      <c r="H25" s="20"/>
    </row>
    <row r="26" spans="1:8" ht="15">
      <c r="A26" s="21" t="s">
        <v>111</v>
      </c>
      <c r="B26" s="21"/>
      <c r="C26" s="22"/>
      <c r="D26" s="22"/>
      <c r="E26" s="22"/>
      <c r="F26" s="22"/>
      <c r="G26" s="20"/>
      <c r="H26" s="20"/>
    </row>
    <row r="27" spans="1:8" ht="15">
      <c r="A27" s="23" t="s">
        <v>66</v>
      </c>
      <c r="B27" s="23"/>
      <c r="C27" s="24"/>
      <c r="D27" s="24"/>
      <c r="E27" s="24"/>
      <c r="F27" s="24"/>
      <c r="G27" s="20"/>
      <c r="H27" s="20"/>
    </row>
    <row r="28" spans="1:8" ht="15">
      <c r="A28" s="21" t="s">
        <v>31</v>
      </c>
      <c r="B28" s="21"/>
      <c r="C28" s="22"/>
      <c r="D28" s="22"/>
      <c r="E28" s="22"/>
      <c r="F28" s="22"/>
      <c r="G28" s="20"/>
      <c r="H28" s="20"/>
    </row>
    <row r="29" spans="1:8" ht="15">
      <c r="A29" s="23" t="s">
        <v>67</v>
      </c>
      <c r="B29" s="23"/>
      <c r="C29" s="24"/>
      <c r="D29" s="24"/>
      <c r="E29" s="24"/>
      <c r="F29" s="24"/>
      <c r="G29" s="20"/>
      <c r="H29" s="20"/>
    </row>
    <row r="30" spans="1:8" ht="15">
      <c r="A30" s="21" t="s">
        <v>62</v>
      </c>
      <c r="B30" s="21"/>
      <c r="C30" s="22"/>
      <c r="D30" s="22"/>
      <c r="E30" s="22"/>
      <c r="F30" s="22"/>
      <c r="G30" s="20"/>
      <c r="H30" s="20"/>
    </row>
    <row r="31" spans="1:8" ht="15">
      <c r="A31" s="20"/>
      <c r="B31" s="20"/>
      <c r="C31" s="20"/>
      <c r="D31" s="20"/>
      <c r="E31" s="20"/>
      <c r="F31" s="20"/>
      <c r="G31" s="20"/>
      <c r="H31" s="20"/>
    </row>
    <row r="32" spans="1:8" ht="15">
      <c r="A32" s="20" t="s">
        <v>65</v>
      </c>
      <c r="B32" s="20"/>
      <c r="C32" s="20"/>
      <c r="D32" s="20"/>
      <c r="E32" s="20"/>
      <c r="F32" s="20"/>
      <c r="G32" s="20"/>
      <c r="H32" s="20"/>
    </row>
    <row r="33" spans="1:8" ht="15">
      <c r="A33" s="20"/>
      <c r="B33" s="20"/>
      <c r="C33" s="20"/>
      <c r="D33" s="20"/>
      <c r="E33" s="20"/>
      <c r="F33" s="20"/>
      <c r="G33" s="20"/>
      <c r="H33" s="20"/>
    </row>
    <row r="34" spans="1:8" ht="15">
      <c r="A34" s="20"/>
      <c r="B34" s="20"/>
      <c r="C34" s="20"/>
      <c r="D34" s="20"/>
      <c r="E34" s="20"/>
      <c r="F34" s="20"/>
      <c r="G34" s="20"/>
      <c r="H34" s="20"/>
    </row>
    <row r="35" spans="1:8" ht="15">
      <c r="A35" s="20"/>
      <c r="B35" s="20"/>
      <c r="C35" s="20"/>
      <c r="D35" s="20"/>
      <c r="E35" s="20"/>
      <c r="F35" s="20"/>
      <c r="G35" s="20"/>
      <c r="H35" s="20"/>
    </row>
    <row r="36" spans="1:8" ht="15">
      <c r="A36" s="20"/>
      <c r="B36" s="20"/>
      <c r="C36" s="20"/>
      <c r="D36" s="20"/>
      <c r="E36" s="20"/>
      <c r="F36" s="20"/>
      <c r="G36" s="20"/>
      <c r="H36" s="20"/>
    </row>
    <row r="37" spans="1:8" ht="17.25">
      <c r="A37" s="35" t="s">
        <v>64</v>
      </c>
      <c r="B37" s="20"/>
      <c r="C37" s="20"/>
      <c r="D37" s="20"/>
      <c r="E37" s="20"/>
      <c r="F37" s="20"/>
      <c r="G37" s="20"/>
      <c r="H37" s="20"/>
    </row>
    <row r="38" spans="1:8" ht="15">
      <c r="A38" s="20" t="s">
        <v>84</v>
      </c>
      <c r="B38" s="20"/>
      <c r="C38" s="20"/>
      <c r="D38" s="20"/>
      <c r="E38" s="20"/>
      <c r="F38" s="20"/>
      <c r="G38" s="20"/>
      <c r="H38" s="20"/>
    </row>
    <row r="39" spans="1:8" ht="15">
      <c r="A39" s="20"/>
      <c r="B39" s="20"/>
      <c r="C39" s="20"/>
      <c r="D39" s="20"/>
      <c r="E39" s="20"/>
      <c r="F39" s="20"/>
      <c r="G39" s="20"/>
      <c r="H39" s="20"/>
    </row>
    <row r="40" spans="1:8" ht="15">
      <c r="A40" s="20"/>
      <c r="B40" s="20"/>
      <c r="C40" s="20"/>
      <c r="D40" s="20"/>
      <c r="E40" s="20"/>
      <c r="F40" s="20"/>
      <c r="G40" s="20"/>
      <c r="H40" s="20"/>
    </row>
    <row r="41" spans="1:8" ht="15">
      <c r="A41" s="20"/>
      <c r="B41" s="20"/>
      <c r="C41" s="20"/>
      <c r="D41" s="20"/>
      <c r="E41" s="20"/>
      <c r="F41" s="20"/>
      <c r="G41" s="20"/>
      <c r="H41" s="20"/>
    </row>
    <row r="42" spans="1:8" ht="15">
      <c r="A42" s="20"/>
      <c r="B42" s="20"/>
      <c r="C42" s="20"/>
      <c r="D42" s="20"/>
      <c r="E42" s="20"/>
      <c r="F42" s="20"/>
      <c r="G42" s="20"/>
      <c r="H42" s="20"/>
    </row>
    <row r="43" spans="1:8" ht="15">
      <c r="A43" s="8" t="s">
        <v>117</v>
      </c>
      <c r="B43" s="20"/>
      <c r="C43" s="20"/>
      <c r="D43" s="20"/>
      <c r="E43" s="20"/>
      <c r="F43" s="20"/>
      <c r="G43" s="20"/>
      <c r="H43" s="20"/>
    </row>
    <row r="44" spans="1:8" ht="15">
      <c r="A44" s="20" t="s">
        <v>63</v>
      </c>
      <c r="B44" s="20"/>
      <c r="C44" s="20"/>
      <c r="D44" s="20"/>
      <c r="E44" s="20"/>
      <c r="F44" s="20"/>
      <c r="G44" s="20"/>
      <c r="H44" s="20"/>
    </row>
    <row r="45" spans="1:8" ht="15">
      <c r="A45" s="20"/>
      <c r="B45" s="20"/>
      <c r="C45" s="20"/>
      <c r="D45" s="20"/>
      <c r="E45" s="20"/>
      <c r="F45" s="20"/>
      <c r="G45" s="20"/>
      <c r="H45" s="20"/>
    </row>
    <row r="46" spans="1:8" ht="15">
      <c r="A46" s="20"/>
      <c r="B46" s="20"/>
      <c r="C46" s="20"/>
      <c r="D46" s="20"/>
      <c r="E46" s="20"/>
      <c r="F46" s="20"/>
      <c r="G46" s="20"/>
      <c r="H46" s="20"/>
    </row>
    <row r="47" spans="1:8" ht="15">
      <c r="A47" s="20"/>
      <c r="B47" s="20"/>
      <c r="C47" s="20"/>
      <c r="D47" s="20"/>
      <c r="E47" s="20"/>
      <c r="F47" s="20"/>
      <c r="G47" s="20"/>
      <c r="H47" s="20"/>
    </row>
    <row r="48" spans="1:8" ht="15">
      <c r="A48" s="20"/>
      <c r="B48" s="20"/>
      <c r="C48" s="20"/>
      <c r="D48" s="20"/>
      <c r="E48" s="20"/>
      <c r="F48" s="20"/>
      <c r="G48" s="20"/>
      <c r="H48" s="20"/>
    </row>
    <row r="49" spans="1:8" ht="15">
      <c r="A49" s="20" t="s">
        <v>34</v>
      </c>
      <c r="B49" s="20"/>
      <c r="C49" s="20"/>
      <c r="D49" s="20"/>
      <c r="E49" s="20"/>
      <c r="F49" s="20"/>
      <c r="G49" s="20"/>
      <c r="H49" s="20"/>
    </row>
    <row r="50" spans="1:8" ht="15">
      <c r="A50" s="20"/>
      <c r="B50" s="20"/>
      <c r="C50" s="20"/>
      <c r="D50" s="20"/>
      <c r="E50" s="20"/>
      <c r="F50" s="20"/>
      <c r="G50" s="20"/>
      <c r="H50" s="20"/>
    </row>
    <row r="51" spans="1:8" ht="15">
      <c r="A51" s="20"/>
      <c r="B51" s="20"/>
      <c r="C51" s="20"/>
      <c r="D51" s="20"/>
      <c r="E51" s="20"/>
      <c r="F51" s="20"/>
      <c r="G51" s="20"/>
      <c r="H51" s="20"/>
    </row>
    <row r="52" spans="1:8" ht="15">
      <c r="A52" s="20"/>
      <c r="B52" s="20"/>
      <c r="C52" s="20"/>
      <c r="D52" s="20"/>
      <c r="E52" s="20"/>
      <c r="F52" s="20"/>
      <c r="G52" s="20"/>
      <c r="H52" s="20"/>
    </row>
    <row r="53" spans="1:8" ht="15">
      <c r="A53" s="20"/>
      <c r="B53" s="20"/>
      <c r="C53" s="20"/>
      <c r="D53" s="20"/>
      <c r="E53" s="20"/>
      <c r="F53" s="20"/>
      <c r="G53" s="20"/>
      <c r="H53" s="20"/>
    </row>
    <row r="54" spans="1:8" ht="15">
      <c r="A54" s="8" t="s">
        <v>89</v>
      </c>
      <c r="B54" s="20"/>
      <c r="C54" s="20"/>
      <c r="D54" s="20"/>
      <c r="E54" s="20"/>
      <c r="F54" s="20"/>
      <c r="G54" s="20"/>
      <c r="H54" s="20"/>
    </row>
    <row r="55" spans="1:8" ht="15">
      <c r="A55" s="20" t="s">
        <v>35</v>
      </c>
      <c r="B55" s="20"/>
      <c r="C55" s="20"/>
      <c r="D55" s="20"/>
      <c r="E55" s="3" t="s">
        <v>85</v>
      </c>
      <c r="F55" s="20"/>
      <c r="G55" s="20"/>
      <c r="H55" s="20"/>
    </row>
    <row r="56" spans="1:8" ht="15">
      <c r="A56" s="20"/>
      <c r="B56" s="20"/>
      <c r="C56" s="20"/>
      <c r="D56" s="20"/>
      <c r="F56" s="20"/>
      <c r="G56" s="20"/>
      <c r="H56" s="20"/>
    </row>
    <row r="57" spans="1:8" ht="15">
      <c r="A57" s="20"/>
      <c r="B57" s="20"/>
      <c r="C57" s="20"/>
      <c r="D57" s="20"/>
      <c r="E57" s="20"/>
      <c r="F57" s="20"/>
      <c r="G57" s="20"/>
      <c r="H57" s="20"/>
    </row>
    <row r="58" spans="1:8" ht="15">
      <c r="A58" s="20"/>
      <c r="B58" s="20"/>
      <c r="C58" s="20"/>
      <c r="D58" s="20"/>
      <c r="F58" s="20"/>
      <c r="G58" s="20"/>
      <c r="H58" s="20"/>
    </row>
    <row r="59" spans="1:8" ht="15">
      <c r="A59" s="20" t="s">
        <v>113</v>
      </c>
      <c r="B59" s="20"/>
      <c r="C59" s="20"/>
      <c r="D59" s="20"/>
      <c r="E59" s="20"/>
      <c r="F59" s="20"/>
      <c r="G59" s="20"/>
      <c r="H59" s="20"/>
    </row>
    <row r="60" spans="1:8" ht="15">
      <c r="A60" s="20"/>
      <c r="B60" s="20"/>
      <c r="C60" s="20"/>
      <c r="D60" s="20"/>
      <c r="E60" s="20"/>
      <c r="F60" s="20"/>
      <c r="G60" s="20"/>
      <c r="H60" s="20"/>
    </row>
    <row r="61" spans="1:8" ht="15">
      <c r="A61" s="20"/>
      <c r="B61" s="20"/>
      <c r="C61" s="20"/>
      <c r="D61" s="20"/>
      <c r="E61" s="20"/>
      <c r="F61" s="20"/>
      <c r="G61" s="20"/>
      <c r="H61" s="20"/>
    </row>
    <row r="62" spans="1:8" ht="15">
      <c r="A62" s="20"/>
      <c r="B62" s="20"/>
      <c r="C62" s="20"/>
      <c r="D62" s="20"/>
      <c r="E62" s="20"/>
      <c r="F62" s="20"/>
      <c r="G62" s="20"/>
      <c r="H62" s="20"/>
    </row>
    <row r="63" spans="2:8" ht="15">
      <c r="B63" s="20"/>
      <c r="C63" s="20"/>
      <c r="D63" s="20"/>
      <c r="F63" s="20"/>
      <c r="G63" s="20"/>
      <c r="H63" s="20"/>
    </row>
    <row r="64" spans="1:8" ht="15">
      <c r="A64" s="8" t="s">
        <v>87</v>
      </c>
      <c r="B64" s="20"/>
      <c r="C64" s="20"/>
      <c r="D64" s="20"/>
      <c r="E64" s="1"/>
      <c r="F64" s="20"/>
      <c r="G64" s="20"/>
      <c r="H64" s="20"/>
    </row>
    <row r="65" spans="1:8" ht="15">
      <c r="A65" s="20" t="s">
        <v>115</v>
      </c>
      <c r="B65" s="20"/>
      <c r="C65" s="20"/>
      <c r="D65" s="20"/>
      <c r="E65" s="20"/>
      <c r="F65" s="20"/>
      <c r="G65" s="20"/>
      <c r="H65" s="20"/>
    </row>
    <row r="66" spans="1:8" ht="15">
      <c r="A66" s="20" t="s">
        <v>114</v>
      </c>
      <c r="B66" s="20"/>
      <c r="C66" s="20"/>
      <c r="D66" s="20"/>
      <c r="E66" s="20"/>
      <c r="F66" s="20"/>
      <c r="G66" s="20"/>
      <c r="H66" s="20"/>
    </row>
    <row r="67" spans="1:8" ht="15">
      <c r="A67" s="20"/>
      <c r="B67" s="20"/>
      <c r="C67" s="20"/>
      <c r="D67" s="20"/>
      <c r="E67" s="20"/>
      <c r="F67" s="20"/>
      <c r="G67" s="20"/>
      <c r="H67" s="20"/>
    </row>
    <row r="68" spans="1:8" ht="15">
      <c r="A68" s="20"/>
      <c r="B68" s="20"/>
      <c r="C68" s="20"/>
      <c r="D68" s="20"/>
      <c r="E68" s="20"/>
      <c r="F68" s="20"/>
      <c r="G68" s="20"/>
      <c r="H68" s="20"/>
    </row>
    <row r="69" spans="1:8" ht="15">
      <c r="A69" s="20"/>
      <c r="B69" s="20"/>
      <c r="C69" s="20"/>
      <c r="D69" s="20"/>
      <c r="E69" s="20"/>
      <c r="F69" s="20"/>
      <c r="G69" s="20"/>
      <c r="H69" s="20"/>
    </row>
    <row r="70" spans="1:8" ht="15">
      <c r="A70" s="20"/>
      <c r="B70" s="20"/>
      <c r="C70" s="20"/>
      <c r="D70" s="20"/>
      <c r="E70" s="20"/>
      <c r="F70" s="20"/>
      <c r="G70" s="20"/>
      <c r="H70" s="20"/>
    </row>
    <row r="71" spans="1:8" ht="15">
      <c r="A71" s="20"/>
      <c r="B71" s="20"/>
      <c r="C71" s="20"/>
      <c r="F71" s="20"/>
      <c r="G71" s="20"/>
      <c r="H71" s="20"/>
    </row>
    <row r="72" spans="1:8" ht="15">
      <c r="A72" s="20"/>
      <c r="B72" s="20"/>
      <c r="C72" s="20"/>
      <c r="F72" s="20"/>
      <c r="G72" s="20"/>
      <c r="H72" s="20"/>
    </row>
    <row r="73" spans="1:8" ht="15">
      <c r="A73" s="8" t="s">
        <v>88</v>
      </c>
      <c r="B73" s="20"/>
      <c r="C73" s="20"/>
      <c r="D73" s="20"/>
      <c r="E73" s="20"/>
      <c r="F73" s="20"/>
      <c r="G73" s="20"/>
      <c r="H73" s="20"/>
    </row>
    <row r="74" spans="1:8" ht="15">
      <c r="A74" s="20" t="s">
        <v>116</v>
      </c>
      <c r="B74" s="20"/>
      <c r="C74" s="20"/>
      <c r="D74" s="20"/>
      <c r="E74" s="20"/>
      <c r="F74" s="20"/>
      <c r="G74" s="20"/>
      <c r="H74" s="20"/>
    </row>
    <row r="75" spans="1:8" ht="15">
      <c r="A75" s="20" t="s">
        <v>86</v>
      </c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 t="s">
        <v>69</v>
      </c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 t="s">
        <v>68</v>
      </c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0"/>
      <c r="E92" s="20"/>
      <c r="F92" s="20"/>
      <c r="G92" s="20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 t="s">
        <v>81</v>
      </c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 t="s">
        <v>91</v>
      </c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 t="s">
        <v>90</v>
      </c>
      <c r="B107" s="20"/>
      <c r="C107" s="20"/>
      <c r="D107" s="20"/>
      <c r="E107" s="20"/>
      <c r="F107" s="20"/>
      <c r="G107" s="20"/>
      <c r="H107" s="20"/>
    </row>
    <row r="110" ht="12.75">
      <c r="A110" s="38" t="s">
        <v>92</v>
      </c>
    </row>
  </sheetData>
  <sheetProtection/>
  <printOptions/>
  <pageMargins left="0.75" right="0.75" top="1" bottom="1" header="0.5" footer="0.5"/>
  <pageSetup horizontalDpi="300" verticalDpi="300" orientation="portrait" scale="78" r:id="rId2"/>
  <colBreaks count="1" manualBreakCount="1">
    <brk id="6" max="65535" man="1"/>
  </colBreaks>
  <customProperties>
    <customPr name="DVSECTION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V43"/>
  <sheetViews>
    <sheetView zoomScalePageLayoutView="0" workbookViewId="0" topLeftCell="A1">
      <selection activeCell="GY30" sqref="GY30"/>
    </sheetView>
  </sheetViews>
  <sheetFormatPr defaultColWidth="9.140625" defaultRowHeight="12.75"/>
  <sheetData>
    <row r="1" spans="1:256" ht="12.75">
      <c r="A1" t="e">
        <f>IF('Application, maintenance'!1:1,"AAAAAF/evwA=",0)</f>
        <v>#VALUE!</v>
      </c>
      <c r="B1" t="e">
        <f>AND('Application, maintenance'!A1,"AAAAAF/evwE=")</f>
        <v>#VALUE!</v>
      </c>
      <c r="C1" t="e">
        <f>AND('Application, maintenance'!B1,"AAAAAF/evwI=")</f>
        <v>#VALUE!</v>
      </c>
      <c r="D1" t="e">
        <f>AND('Application, maintenance'!C1,"AAAAAF/evwM=")</f>
        <v>#VALUE!</v>
      </c>
      <c r="E1" t="e">
        <f>AND('Application, maintenance'!D1,"AAAAAF/evwQ=")</f>
        <v>#VALUE!</v>
      </c>
      <c r="F1" t="e">
        <f>AND('Application, maintenance'!E1,"AAAAAF/evwU=")</f>
        <v>#VALUE!</v>
      </c>
      <c r="G1" t="e">
        <f>AND('Application, maintenance'!F1,"AAAAAF/evwY=")</f>
        <v>#VALUE!</v>
      </c>
      <c r="H1" t="e">
        <f>AND('Application, maintenance'!G1,"AAAAAF/evwc=")</f>
        <v>#VALUE!</v>
      </c>
      <c r="I1" t="e">
        <f>AND('Application, maintenance'!H1,"AAAAAF/evwg=")</f>
        <v>#VALUE!</v>
      </c>
      <c r="J1" t="e">
        <f>AND('Application, maintenance'!I1,"AAAAAF/evwk=")</f>
        <v>#VALUE!</v>
      </c>
      <c r="K1" t="e">
        <f>AND('Application, maintenance'!J1,"AAAAAF/evwo=")</f>
        <v>#VALUE!</v>
      </c>
      <c r="L1" t="e">
        <f>AND('Application, maintenance'!K1,"AAAAAF/evws=")</f>
        <v>#VALUE!</v>
      </c>
      <c r="M1" t="e">
        <f>AND('Application, maintenance'!L1,"AAAAAF/evww=")</f>
        <v>#VALUE!</v>
      </c>
      <c r="N1" t="e">
        <f>AND('Application, maintenance'!M1,"AAAAAF/evw0=")</f>
        <v>#VALUE!</v>
      </c>
      <c r="O1" t="e">
        <f>AND('Application, maintenance'!N1,"AAAAAF/evw4=")</f>
        <v>#VALUE!</v>
      </c>
      <c r="P1">
        <f>IF('Application, maintenance'!2:2,"AAAAAF/evw8=",0)</f>
        <v>0</v>
      </c>
      <c r="Q1" t="e">
        <f>AND('Application, maintenance'!A2,"AAAAAF/evxA=")</f>
        <v>#VALUE!</v>
      </c>
      <c r="R1" t="e">
        <f>AND('Application, maintenance'!B2,"AAAAAF/evxE=")</f>
        <v>#VALUE!</v>
      </c>
      <c r="S1" t="e">
        <f>AND('Application, maintenance'!C2,"AAAAAF/evxI=")</f>
        <v>#VALUE!</v>
      </c>
      <c r="T1" t="e">
        <f>AND('Application, maintenance'!D2,"AAAAAF/evxM=")</f>
        <v>#VALUE!</v>
      </c>
      <c r="U1" t="e">
        <f>AND('Application, maintenance'!E2,"AAAAAF/evxQ=")</f>
        <v>#VALUE!</v>
      </c>
      <c r="V1" t="e">
        <f>AND('Application, maintenance'!F2,"AAAAAF/evxU=")</f>
        <v>#VALUE!</v>
      </c>
      <c r="W1" t="e">
        <f>AND('Application, maintenance'!G2,"AAAAAF/evxY=")</f>
        <v>#VALUE!</v>
      </c>
      <c r="X1" t="e">
        <f>AND('Application, maintenance'!H2,"AAAAAF/evxc=")</f>
        <v>#VALUE!</v>
      </c>
      <c r="Y1" t="e">
        <f>AND('Application, maintenance'!I2,"AAAAAF/evxg=")</f>
        <v>#VALUE!</v>
      </c>
      <c r="Z1" t="e">
        <f>AND('Application, maintenance'!J2,"AAAAAF/evxk=")</f>
        <v>#VALUE!</v>
      </c>
      <c r="AA1" t="e">
        <f>AND('Application, maintenance'!K2,"AAAAAF/evxo=")</f>
        <v>#VALUE!</v>
      </c>
      <c r="AB1" t="e">
        <f>AND('Application, maintenance'!L2,"AAAAAF/evxs=")</f>
        <v>#VALUE!</v>
      </c>
      <c r="AC1" t="e">
        <f>AND('Application, maintenance'!M2,"AAAAAF/evxw=")</f>
        <v>#VALUE!</v>
      </c>
      <c r="AD1" t="e">
        <f>AND('Application, maintenance'!N2,"AAAAAF/evx0=")</f>
        <v>#VALUE!</v>
      </c>
      <c r="AE1">
        <f>IF('Application, maintenance'!3:3,"AAAAAF/evx4=",0)</f>
        <v>0</v>
      </c>
      <c r="AF1" t="e">
        <f>AND('Application, maintenance'!A3,"AAAAAF/evx8=")</f>
        <v>#VALUE!</v>
      </c>
      <c r="AG1" t="e">
        <f>AND('Application, maintenance'!B3,"AAAAAF/evyA=")</f>
        <v>#VALUE!</v>
      </c>
      <c r="AH1" t="e">
        <f>AND('Application, maintenance'!C3,"AAAAAF/evyE=")</f>
        <v>#VALUE!</v>
      </c>
      <c r="AI1" t="e">
        <f>AND('Application, maintenance'!D3,"AAAAAF/evyI=")</f>
        <v>#VALUE!</v>
      </c>
      <c r="AJ1" t="e">
        <f>AND('Application, maintenance'!E3,"AAAAAF/evyM=")</f>
        <v>#VALUE!</v>
      </c>
      <c r="AK1" t="e">
        <f>AND('Application, maintenance'!F3,"AAAAAF/evyQ=")</f>
        <v>#VALUE!</v>
      </c>
      <c r="AL1" t="e">
        <f>AND('Application, maintenance'!G3,"AAAAAF/evyU=")</f>
        <v>#VALUE!</v>
      </c>
      <c r="AM1" t="e">
        <f>AND('Application, maintenance'!H3,"AAAAAF/evyY=")</f>
        <v>#VALUE!</v>
      </c>
      <c r="AN1" t="e">
        <f>AND('Application, maintenance'!I3,"AAAAAF/evyc=")</f>
        <v>#VALUE!</v>
      </c>
      <c r="AO1" t="e">
        <f>AND('Application, maintenance'!J3,"AAAAAF/evyg=")</f>
        <v>#VALUE!</v>
      </c>
      <c r="AP1" t="e">
        <f>AND('Application, maintenance'!K3,"AAAAAF/evyk=")</f>
        <v>#VALUE!</v>
      </c>
      <c r="AQ1" t="e">
        <f>AND('Application, maintenance'!L3,"AAAAAF/evyo=")</f>
        <v>#VALUE!</v>
      </c>
      <c r="AR1" t="e">
        <f>AND('Application, maintenance'!M3,"AAAAAF/evys=")</f>
        <v>#VALUE!</v>
      </c>
      <c r="AS1" t="e">
        <f>AND('Application, maintenance'!N3,"AAAAAF/evyw=")</f>
        <v>#VALUE!</v>
      </c>
      <c r="AT1">
        <f>IF('Application, maintenance'!4:4,"AAAAAF/evy0=",0)</f>
        <v>0</v>
      </c>
      <c r="AU1" t="e">
        <f>AND('Application, maintenance'!A4,"AAAAAF/evy4=")</f>
        <v>#VALUE!</v>
      </c>
      <c r="AV1" t="e">
        <f>AND('Application, maintenance'!B4,"AAAAAF/evy8=")</f>
        <v>#VALUE!</v>
      </c>
      <c r="AW1" t="e">
        <f>AND('Application, maintenance'!C4,"AAAAAF/evzA=")</f>
        <v>#VALUE!</v>
      </c>
      <c r="AX1" t="e">
        <f>AND('Application, maintenance'!D4,"AAAAAF/evzE=")</f>
        <v>#VALUE!</v>
      </c>
      <c r="AY1" t="e">
        <f>AND('Application, maintenance'!E4,"AAAAAF/evzI=")</f>
        <v>#VALUE!</v>
      </c>
      <c r="AZ1" t="e">
        <f>AND('Application, maintenance'!F4,"AAAAAF/evzM=")</f>
        <v>#VALUE!</v>
      </c>
      <c r="BA1" t="e">
        <f>AND('Application, maintenance'!G4,"AAAAAF/evzQ=")</f>
        <v>#VALUE!</v>
      </c>
      <c r="BB1" t="e">
        <f>AND('Application, maintenance'!H4,"AAAAAF/evzU=")</f>
        <v>#VALUE!</v>
      </c>
      <c r="BC1" t="e">
        <f>AND('Application, maintenance'!I4,"AAAAAF/evzY=")</f>
        <v>#VALUE!</v>
      </c>
      <c r="BD1" t="e">
        <f>AND('Application, maintenance'!J4,"AAAAAF/evzc=")</f>
        <v>#VALUE!</v>
      </c>
      <c r="BE1" t="e">
        <f>AND('Application, maintenance'!K4,"AAAAAF/evzg=")</f>
        <v>#VALUE!</v>
      </c>
      <c r="BF1" t="e">
        <f>AND('Application, maintenance'!L4,"AAAAAF/evzk=")</f>
        <v>#VALUE!</v>
      </c>
      <c r="BG1" t="e">
        <f>AND('Application, maintenance'!M4,"AAAAAF/evzo=")</f>
        <v>#VALUE!</v>
      </c>
      <c r="BH1" t="e">
        <f>AND('Application, maintenance'!N4,"AAAAAF/evzs=")</f>
        <v>#VALUE!</v>
      </c>
      <c r="BI1">
        <f>IF('Application, maintenance'!5:5,"AAAAAF/evzw=",0)</f>
        <v>0</v>
      </c>
      <c r="BJ1" t="e">
        <f>AND('Application, maintenance'!A5,"AAAAAF/evz0=")</f>
        <v>#VALUE!</v>
      </c>
      <c r="BK1" t="e">
        <f>AND('Application, maintenance'!B5,"AAAAAF/evz4=")</f>
        <v>#VALUE!</v>
      </c>
      <c r="BL1" t="e">
        <f>AND('Application, maintenance'!C5,"AAAAAF/evz8=")</f>
        <v>#VALUE!</v>
      </c>
      <c r="BM1" t="e">
        <f>AND('Application, maintenance'!D5,"AAAAAF/ev0A=")</f>
        <v>#VALUE!</v>
      </c>
      <c r="BN1" t="e">
        <f>AND('Application, maintenance'!E5,"AAAAAF/ev0E=")</f>
        <v>#VALUE!</v>
      </c>
      <c r="BO1" t="e">
        <f>AND('Application, maintenance'!F5,"AAAAAF/ev0I=")</f>
        <v>#VALUE!</v>
      </c>
      <c r="BP1" t="e">
        <f>AND('Application, maintenance'!G5,"AAAAAF/ev0M=")</f>
        <v>#VALUE!</v>
      </c>
      <c r="BQ1" t="e">
        <f>AND('Application, maintenance'!H5,"AAAAAF/ev0Q=")</f>
        <v>#VALUE!</v>
      </c>
      <c r="BR1" t="e">
        <f>AND('Application, maintenance'!I5,"AAAAAF/ev0U=")</f>
        <v>#VALUE!</v>
      </c>
      <c r="BS1" t="e">
        <f>AND('Application, maintenance'!J5,"AAAAAF/ev0Y=")</f>
        <v>#VALUE!</v>
      </c>
      <c r="BT1" t="e">
        <f>AND('Application, maintenance'!K5,"AAAAAF/ev0c=")</f>
        <v>#VALUE!</v>
      </c>
      <c r="BU1" t="e">
        <f>AND('Application, maintenance'!L5,"AAAAAF/ev0g=")</f>
        <v>#VALUE!</v>
      </c>
      <c r="BV1" t="e">
        <f>AND('Application, maintenance'!M5,"AAAAAF/ev0k=")</f>
        <v>#VALUE!</v>
      </c>
      <c r="BW1" t="e">
        <f>AND('Application, maintenance'!N5,"AAAAAF/ev0o=")</f>
        <v>#VALUE!</v>
      </c>
      <c r="BX1">
        <f>IF('Application, maintenance'!6:6,"AAAAAF/ev0s=",0)</f>
        <v>0</v>
      </c>
      <c r="BY1" t="e">
        <f>AND('Application, maintenance'!A6,"AAAAAF/ev0w=")</f>
        <v>#VALUE!</v>
      </c>
      <c r="BZ1" t="e">
        <f>AND('Application, maintenance'!B6,"AAAAAF/ev00=")</f>
        <v>#VALUE!</v>
      </c>
      <c r="CA1" t="e">
        <f>AND('Application, maintenance'!C6,"AAAAAF/ev04=")</f>
        <v>#VALUE!</v>
      </c>
      <c r="CB1" t="e">
        <f>AND('Application, maintenance'!D6,"AAAAAF/ev08=")</f>
        <v>#VALUE!</v>
      </c>
      <c r="CC1" t="e">
        <f>AND('Application, maintenance'!E6,"AAAAAF/ev1A=")</f>
        <v>#VALUE!</v>
      </c>
      <c r="CD1" t="e">
        <f>AND('Application, maintenance'!F6,"AAAAAF/ev1E=")</f>
        <v>#VALUE!</v>
      </c>
      <c r="CE1" t="e">
        <f>AND('Application, maintenance'!G6,"AAAAAF/ev1I=")</f>
        <v>#VALUE!</v>
      </c>
      <c r="CF1" t="e">
        <f>AND('Application, maintenance'!H6,"AAAAAF/ev1M=")</f>
        <v>#VALUE!</v>
      </c>
      <c r="CG1" t="e">
        <f>AND('Application, maintenance'!I6,"AAAAAF/ev1Q=")</f>
        <v>#VALUE!</v>
      </c>
      <c r="CH1" t="e">
        <f>AND('Application, maintenance'!J6,"AAAAAF/ev1U=")</f>
        <v>#VALUE!</v>
      </c>
      <c r="CI1" t="e">
        <f>AND('Application, maintenance'!K6,"AAAAAF/ev1Y=")</f>
        <v>#VALUE!</v>
      </c>
      <c r="CJ1" t="e">
        <f>AND('Application, maintenance'!L6,"AAAAAF/ev1c=")</f>
        <v>#VALUE!</v>
      </c>
      <c r="CK1" t="e">
        <f>AND('Application, maintenance'!M6,"AAAAAF/ev1g=")</f>
        <v>#VALUE!</v>
      </c>
      <c r="CL1" t="e">
        <f>AND('Application, maintenance'!N6,"AAAAAF/ev1k=")</f>
        <v>#VALUE!</v>
      </c>
      <c r="CM1">
        <f>IF('Application, maintenance'!7:7,"AAAAAF/ev1o=",0)</f>
        <v>0</v>
      </c>
      <c r="CN1" t="e">
        <f>AND('Application, maintenance'!A7,"AAAAAF/ev1s=")</f>
        <v>#VALUE!</v>
      </c>
      <c r="CO1" t="e">
        <f>AND('Application, maintenance'!B7,"AAAAAF/ev1w=")</f>
        <v>#VALUE!</v>
      </c>
      <c r="CP1" t="e">
        <f>AND('Application, maintenance'!C7,"AAAAAF/ev10=")</f>
        <v>#VALUE!</v>
      </c>
      <c r="CQ1" t="e">
        <f>AND('Application, maintenance'!D7,"AAAAAF/ev14=")</f>
        <v>#VALUE!</v>
      </c>
      <c r="CR1" t="e">
        <f>AND('Application, maintenance'!E7,"AAAAAF/ev18=")</f>
        <v>#VALUE!</v>
      </c>
      <c r="CS1" t="e">
        <f>AND('Application, maintenance'!F7,"AAAAAF/ev2A=")</f>
        <v>#VALUE!</v>
      </c>
      <c r="CT1" t="e">
        <f>AND('Application, maintenance'!G7,"AAAAAF/ev2E=")</f>
        <v>#VALUE!</v>
      </c>
      <c r="CU1" t="e">
        <f>AND('Application, maintenance'!H7,"AAAAAF/ev2I=")</f>
        <v>#VALUE!</v>
      </c>
      <c r="CV1" t="e">
        <f>AND('Application, maintenance'!I7,"AAAAAF/ev2M=")</f>
        <v>#VALUE!</v>
      </c>
      <c r="CW1" t="e">
        <f>AND('Application, maintenance'!J7,"AAAAAF/ev2Q=")</f>
        <v>#VALUE!</v>
      </c>
      <c r="CX1" t="e">
        <f>AND('Application, maintenance'!K7,"AAAAAF/ev2U=")</f>
        <v>#VALUE!</v>
      </c>
      <c r="CY1" t="e">
        <f>AND('Application, maintenance'!L7,"AAAAAF/ev2Y=")</f>
        <v>#VALUE!</v>
      </c>
      <c r="CZ1" t="e">
        <f>AND('Application, maintenance'!M7,"AAAAAF/ev2c=")</f>
        <v>#VALUE!</v>
      </c>
      <c r="DA1" t="e">
        <f>AND('Application, maintenance'!N7,"AAAAAF/ev2g=")</f>
        <v>#VALUE!</v>
      </c>
      <c r="DB1">
        <f>IF('Application, maintenance'!8:8,"AAAAAF/ev2k=",0)</f>
        <v>0</v>
      </c>
      <c r="DC1" t="e">
        <f>AND('Application, maintenance'!A8,"AAAAAF/ev2o=")</f>
        <v>#VALUE!</v>
      </c>
      <c r="DD1" t="e">
        <f>AND('Application, maintenance'!B8,"AAAAAF/ev2s=")</f>
        <v>#VALUE!</v>
      </c>
      <c r="DE1" t="e">
        <f>AND('Application, maintenance'!C8,"AAAAAF/ev2w=")</f>
        <v>#VALUE!</v>
      </c>
      <c r="DF1" t="e">
        <f>AND('Application, maintenance'!D8,"AAAAAF/ev20=")</f>
        <v>#VALUE!</v>
      </c>
      <c r="DG1" t="e">
        <f>AND('Application, maintenance'!E8,"AAAAAF/ev24=")</f>
        <v>#VALUE!</v>
      </c>
      <c r="DH1" t="e">
        <f>AND('Application, maintenance'!F8,"AAAAAF/ev28=")</f>
        <v>#VALUE!</v>
      </c>
      <c r="DI1" t="e">
        <f>AND('Application, maintenance'!G8,"AAAAAF/ev3A=")</f>
        <v>#VALUE!</v>
      </c>
      <c r="DJ1" t="e">
        <f>AND('Application, maintenance'!H8,"AAAAAF/ev3E=")</f>
        <v>#VALUE!</v>
      </c>
      <c r="DK1" t="e">
        <f>AND('Application, maintenance'!I8,"AAAAAF/ev3I=")</f>
        <v>#VALUE!</v>
      </c>
      <c r="DL1" t="e">
        <f>AND('Application, maintenance'!J8,"AAAAAF/ev3M=")</f>
        <v>#VALUE!</v>
      </c>
      <c r="DM1" t="e">
        <f>AND('Application, maintenance'!K8,"AAAAAF/ev3Q=")</f>
        <v>#VALUE!</v>
      </c>
      <c r="DN1" t="e">
        <f>AND('Application, maintenance'!L8,"AAAAAF/ev3U=")</f>
        <v>#VALUE!</v>
      </c>
      <c r="DO1" t="e">
        <f>AND('Application, maintenance'!M8,"AAAAAF/ev3Y=")</f>
        <v>#VALUE!</v>
      </c>
      <c r="DP1" t="e">
        <f>AND('Application, maintenance'!N8,"AAAAAF/ev3c=")</f>
        <v>#VALUE!</v>
      </c>
      <c r="DQ1">
        <f>IF('Application, maintenance'!9:9,"AAAAAF/ev3g=",0)</f>
        <v>0</v>
      </c>
      <c r="DR1" t="e">
        <f>AND('Application, maintenance'!A9,"AAAAAF/ev3k=")</f>
        <v>#VALUE!</v>
      </c>
      <c r="DS1" t="e">
        <f>AND('Application, maintenance'!B9,"AAAAAF/ev3o=")</f>
        <v>#VALUE!</v>
      </c>
      <c r="DT1" t="e">
        <f>AND('Application, maintenance'!C9,"AAAAAF/ev3s=")</f>
        <v>#VALUE!</v>
      </c>
      <c r="DU1" t="e">
        <f>AND('Application, maintenance'!D9,"AAAAAF/ev3w=")</f>
        <v>#VALUE!</v>
      </c>
      <c r="DV1" t="e">
        <f>AND('Application, maintenance'!E9,"AAAAAF/ev30=")</f>
        <v>#VALUE!</v>
      </c>
      <c r="DW1" t="e">
        <f>AND('Application, maintenance'!F9,"AAAAAF/ev34=")</f>
        <v>#VALUE!</v>
      </c>
      <c r="DX1" t="e">
        <f>AND('Application, maintenance'!G9,"AAAAAF/ev38=")</f>
        <v>#VALUE!</v>
      </c>
      <c r="DY1" t="e">
        <f>AND('Application, maintenance'!H9,"AAAAAF/ev4A=")</f>
        <v>#VALUE!</v>
      </c>
      <c r="DZ1" t="e">
        <f>AND('Application, maintenance'!I9,"AAAAAF/ev4E=")</f>
        <v>#VALUE!</v>
      </c>
      <c r="EA1" t="e">
        <f>AND('Application, maintenance'!J9,"AAAAAF/ev4I=")</f>
        <v>#VALUE!</v>
      </c>
      <c r="EB1" t="e">
        <f>AND('Application, maintenance'!K9,"AAAAAF/ev4M=")</f>
        <v>#VALUE!</v>
      </c>
      <c r="EC1" t="e">
        <f>AND('Application, maintenance'!L9,"AAAAAF/ev4Q=")</f>
        <v>#VALUE!</v>
      </c>
      <c r="ED1" t="e">
        <f>AND('Application, maintenance'!M9,"AAAAAF/ev4U=")</f>
        <v>#VALUE!</v>
      </c>
      <c r="EE1" t="e">
        <f>AND('Application, maintenance'!N9,"AAAAAF/ev4Y=")</f>
        <v>#VALUE!</v>
      </c>
      <c r="EF1">
        <f>IF('Application, maintenance'!10:10,"AAAAAF/ev4c=",0)</f>
        <v>0</v>
      </c>
      <c r="EG1" t="e">
        <f>AND('Application, maintenance'!A10,"AAAAAF/ev4g=")</f>
        <v>#VALUE!</v>
      </c>
      <c r="EH1" t="e">
        <f>AND('Application, maintenance'!B10,"AAAAAF/ev4k=")</f>
        <v>#VALUE!</v>
      </c>
      <c r="EI1" t="e">
        <f>AND('Application, maintenance'!C10,"AAAAAF/ev4o=")</f>
        <v>#VALUE!</v>
      </c>
      <c r="EJ1" t="e">
        <f>AND('Application, maintenance'!D10,"AAAAAF/ev4s=")</f>
        <v>#VALUE!</v>
      </c>
      <c r="EK1" t="e">
        <f>AND('Application, maintenance'!E10,"AAAAAF/ev4w=")</f>
        <v>#VALUE!</v>
      </c>
      <c r="EL1" t="e">
        <f>AND('Application, maintenance'!F10,"AAAAAF/ev40=")</f>
        <v>#VALUE!</v>
      </c>
      <c r="EM1" t="e">
        <f>AND('Application, maintenance'!G10,"AAAAAF/ev44=")</f>
        <v>#VALUE!</v>
      </c>
      <c r="EN1" t="e">
        <f>AND('Application, maintenance'!H10,"AAAAAF/ev48=")</f>
        <v>#VALUE!</v>
      </c>
      <c r="EO1" t="e">
        <f>AND('Application, maintenance'!I10,"AAAAAF/ev5A=")</f>
        <v>#VALUE!</v>
      </c>
      <c r="EP1" t="e">
        <f>AND('Application, maintenance'!J10,"AAAAAF/ev5E=")</f>
        <v>#VALUE!</v>
      </c>
      <c r="EQ1" t="e">
        <f>AND('Application, maintenance'!K10,"AAAAAF/ev5I=")</f>
        <v>#VALUE!</v>
      </c>
      <c r="ER1" t="e">
        <f>AND('Application, maintenance'!L10,"AAAAAF/ev5M=")</f>
        <v>#VALUE!</v>
      </c>
      <c r="ES1" t="e">
        <f>AND('Application, maintenance'!M10,"AAAAAF/ev5Q=")</f>
        <v>#VALUE!</v>
      </c>
      <c r="ET1" t="e">
        <f>AND('Application, maintenance'!N10,"AAAAAF/ev5U=")</f>
        <v>#VALUE!</v>
      </c>
      <c r="EU1">
        <f>IF('Application, maintenance'!11:11,"AAAAAF/ev5Y=",0)</f>
        <v>0</v>
      </c>
      <c r="EV1" t="e">
        <f>AND('Application, maintenance'!A11,"AAAAAF/ev5c=")</f>
        <v>#VALUE!</v>
      </c>
      <c r="EW1" t="e">
        <f>AND('Application, maintenance'!B11,"AAAAAF/ev5g=")</f>
        <v>#VALUE!</v>
      </c>
      <c r="EX1" t="e">
        <f>AND('Application, maintenance'!C11,"AAAAAF/ev5k=")</f>
        <v>#VALUE!</v>
      </c>
      <c r="EY1" t="e">
        <f>AND('Application, maintenance'!D11,"AAAAAF/ev5o=")</f>
        <v>#VALUE!</v>
      </c>
      <c r="EZ1" t="e">
        <f>AND('Application, maintenance'!E11,"AAAAAF/ev5s=")</f>
        <v>#VALUE!</v>
      </c>
      <c r="FA1" t="e">
        <f>AND('Application, maintenance'!F11,"AAAAAF/ev5w=")</f>
        <v>#VALUE!</v>
      </c>
      <c r="FB1" t="e">
        <f>AND('Application, maintenance'!G11,"AAAAAF/ev50=")</f>
        <v>#VALUE!</v>
      </c>
      <c r="FC1" t="e">
        <f>AND('Application, maintenance'!H11,"AAAAAF/ev54=")</f>
        <v>#VALUE!</v>
      </c>
      <c r="FD1" t="e">
        <f>AND('Application, maintenance'!I11,"AAAAAF/ev58=")</f>
        <v>#VALUE!</v>
      </c>
      <c r="FE1" t="e">
        <f>AND('Application, maintenance'!J11,"AAAAAF/ev6A=")</f>
        <v>#VALUE!</v>
      </c>
      <c r="FF1" t="e">
        <f>AND('Application, maintenance'!K11,"AAAAAF/ev6E=")</f>
        <v>#VALUE!</v>
      </c>
      <c r="FG1" t="e">
        <f>AND('Application, maintenance'!L11,"AAAAAF/ev6I=")</f>
        <v>#VALUE!</v>
      </c>
      <c r="FH1" t="e">
        <f>AND('Application, maintenance'!M11,"AAAAAF/ev6M=")</f>
        <v>#VALUE!</v>
      </c>
      <c r="FI1" t="e">
        <f>AND('Application, maintenance'!N11,"AAAAAF/ev6Q=")</f>
        <v>#VALUE!</v>
      </c>
      <c r="FJ1">
        <f>IF('Application, maintenance'!12:12,"AAAAAF/ev6U=",0)</f>
        <v>0</v>
      </c>
      <c r="FK1" t="e">
        <f>AND('Application, maintenance'!A12,"AAAAAF/ev6Y=")</f>
        <v>#VALUE!</v>
      </c>
      <c r="FL1" t="e">
        <f>AND('Application, maintenance'!B12,"AAAAAF/ev6c=")</f>
        <v>#VALUE!</v>
      </c>
      <c r="FM1" t="e">
        <f>AND('Application, maintenance'!C12,"AAAAAF/ev6g=")</f>
        <v>#VALUE!</v>
      </c>
      <c r="FN1" t="e">
        <f>AND('Application, maintenance'!D12,"AAAAAF/ev6k=")</f>
        <v>#VALUE!</v>
      </c>
      <c r="FO1" t="e">
        <f>AND('Application, maintenance'!E12,"AAAAAF/ev6o=")</f>
        <v>#VALUE!</v>
      </c>
      <c r="FP1" t="e">
        <f>AND('Application, maintenance'!F12,"AAAAAF/ev6s=")</f>
        <v>#VALUE!</v>
      </c>
      <c r="FQ1" t="e">
        <f>AND('Application, maintenance'!G12,"AAAAAF/ev6w=")</f>
        <v>#VALUE!</v>
      </c>
      <c r="FR1" t="e">
        <f>AND('Application, maintenance'!H12,"AAAAAF/ev60=")</f>
        <v>#VALUE!</v>
      </c>
      <c r="FS1" t="e">
        <f>AND('Application, maintenance'!I12,"AAAAAF/ev64=")</f>
        <v>#VALUE!</v>
      </c>
      <c r="FT1" t="e">
        <f>AND('Application, maintenance'!J12,"AAAAAF/ev68=")</f>
        <v>#VALUE!</v>
      </c>
      <c r="FU1" t="e">
        <f>AND('Application, maintenance'!K12,"AAAAAF/ev7A=")</f>
        <v>#VALUE!</v>
      </c>
      <c r="FV1" t="e">
        <f>AND('Application, maintenance'!L12,"AAAAAF/ev7E=")</f>
        <v>#VALUE!</v>
      </c>
      <c r="FW1" t="e">
        <f>AND('Application, maintenance'!M12,"AAAAAF/ev7I=")</f>
        <v>#VALUE!</v>
      </c>
      <c r="FX1" t="e">
        <f>AND('Application, maintenance'!N12,"AAAAAF/ev7M=")</f>
        <v>#VALUE!</v>
      </c>
      <c r="FY1">
        <f>IF('Application, maintenance'!13:13,"AAAAAF/ev7Q=",0)</f>
        <v>0</v>
      </c>
      <c r="FZ1" t="e">
        <f>AND('Application, maintenance'!A13,"AAAAAF/ev7U=")</f>
        <v>#VALUE!</v>
      </c>
      <c r="GA1" t="e">
        <f>AND('Application, maintenance'!B13,"AAAAAF/ev7Y=")</f>
        <v>#VALUE!</v>
      </c>
      <c r="GB1" t="e">
        <f>AND('Application, maintenance'!C13,"AAAAAF/ev7c=")</f>
        <v>#VALUE!</v>
      </c>
      <c r="GC1" t="e">
        <f>AND('Application, maintenance'!D13,"AAAAAF/ev7g=")</f>
        <v>#VALUE!</v>
      </c>
      <c r="GD1" t="e">
        <f>AND('Application, maintenance'!E13,"AAAAAF/ev7k=")</f>
        <v>#VALUE!</v>
      </c>
      <c r="GE1" t="e">
        <f>AND('Application, maintenance'!F13,"AAAAAF/ev7o=")</f>
        <v>#VALUE!</v>
      </c>
      <c r="GF1" t="e">
        <f>AND('Application, maintenance'!G13,"AAAAAF/ev7s=")</f>
        <v>#VALUE!</v>
      </c>
      <c r="GG1" t="e">
        <f>AND('Application, maintenance'!H13,"AAAAAF/ev7w=")</f>
        <v>#VALUE!</v>
      </c>
      <c r="GH1" t="e">
        <f>AND('Application, maintenance'!I13,"AAAAAF/ev70=")</f>
        <v>#VALUE!</v>
      </c>
      <c r="GI1" t="e">
        <f>AND('Application, maintenance'!J13,"AAAAAF/ev74=")</f>
        <v>#VALUE!</v>
      </c>
      <c r="GJ1" t="e">
        <f>AND('Application, maintenance'!K13,"AAAAAF/ev78=")</f>
        <v>#VALUE!</v>
      </c>
      <c r="GK1" t="e">
        <f>AND('Application, maintenance'!L13,"AAAAAF/ev8A=")</f>
        <v>#VALUE!</v>
      </c>
      <c r="GL1" t="e">
        <f>AND('Application, maintenance'!M13,"AAAAAF/ev8E=")</f>
        <v>#VALUE!</v>
      </c>
      <c r="GM1" t="e">
        <f>AND('Application, maintenance'!N13,"AAAAAF/ev8I=")</f>
        <v>#VALUE!</v>
      </c>
      <c r="GN1">
        <f>IF('Application, maintenance'!14:14,"AAAAAF/ev8M=",0)</f>
        <v>0</v>
      </c>
      <c r="GO1" t="e">
        <f>AND('Application, maintenance'!A14,"AAAAAF/ev8Q=")</f>
        <v>#VALUE!</v>
      </c>
      <c r="GP1" t="e">
        <f>AND('Application, maintenance'!B14,"AAAAAF/ev8U=")</f>
        <v>#VALUE!</v>
      </c>
      <c r="GQ1" t="e">
        <f>AND('Application, maintenance'!C14,"AAAAAF/ev8Y=")</f>
        <v>#VALUE!</v>
      </c>
      <c r="GR1" t="e">
        <f>AND('Application, maintenance'!D14,"AAAAAF/ev8c=")</f>
        <v>#VALUE!</v>
      </c>
      <c r="GS1" t="e">
        <f>AND('Application, maintenance'!E14,"AAAAAF/ev8g=")</f>
        <v>#VALUE!</v>
      </c>
      <c r="GT1" t="e">
        <f>AND('Application, maintenance'!F14,"AAAAAF/ev8k=")</f>
        <v>#VALUE!</v>
      </c>
      <c r="GU1" t="e">
        <f>AND('Application, maintenance'!G14,"AAAAAF/ev8o=")</f>
        <v>#VALUE!</v>
      </c>
      <c r="GV1" t="e">
        <f>AND('Application, maintenance'!H14,"AAAAAF/ev8s=")</f>
        <v>#VALUE!</v>
      </c>
      <c r="GW1" t="e">
        <f>AND('Application, maintenance'!I14,"AAAAAF/ev8w=")</f>
        <v>#VALUE!</v>
      </c>
      <c r="GX1" t="e">
        <f>AND('Application, maintenance'!J14,"AAAAAF/ev80=")</f>
        <v>#VALUE!</v>
      </c>
      <c r="GY1" t="e">
        <f>AND('Application, maintenance'!K14,"AAAAAF/ev84=")</f>
        <v>#VALUE!</v>
      </c>
      <c r="GZ1" t="e">
        <f>AND('Application, maintenance'!L14,"AAAAAF/ev88=")</f>
        <v>#VALUE!</v>
      </c>
      <c r="HA1" t="e">
        <f>AND('Application, maintenance'!M14,"AAAAAF/ev9A=")</f>
        <v>#VALUE!</v>
      </c>
      <c r="HB1" t="e">
        <f>AND('Application, maintenance'!N14,"AAAAAF/ev9E=")</f>
        <v>#VALUE!</v>
      </c>
      <c r="HC1">
        <f>IF('Application, maintenance'!15:15,"AAAAAF/ev9I=",0)</f>
        <v>0</v>
      </c>
      <c r="HD1" t="e">
        <f>AND('Application, maintenance'!A15,"AAAAAF/ev9M=")</f>
        <v>#VALUE!</v>
      </c>
      <c r="HE1" t="e">
        <f>AND('Application, maintenance'!B15,"AAAAAF/ev9Q=")</f>
        <v>#VALUE!</v>
      </c>
      <c r="HF1" t="e">
        <f>AND('Application, maintenance'!C15,"AAAAAF/ev9U=")</f>
        <v>#VALUE!</v>
      </c>
      <c r="HG1" t="e">
        <f>AND('Application, maintenance'!D15,"AAAAAF/ev9Y=")</f>
        <v>#VALUE!</v>
      </c>
      <c r="HH1" t="e">
        <f>AND('Application, maintenance'!E15,"AAAAAF/ev9c=")</f>
        <v>#VALUE!</v>
      </c>
      <c r="HI1" t="e">
        <f>AND('Application, maintenance'!F15,"AAAAAF/ev9g=")</f>
        <v>#VALUE!</v>
      </c>
      <c r="HJ1" t="e">
        <f>AND('Application, maintenance'!G15,"AAAAAF/ev9k=")</f>
        <v>#VALUE!</v>
      </c>
      <c r="HK1" t="e">
        <f>AND('Application, maintenance'!H15,"AAAAAF/ev9o=")</f>
        <v>#VALUE!</v>
      </c>
      <c r="HL1" t="e">
        <f>AND('Application, maintenance'!I15,"AAAAAF/ev9s=")</f>
        <v>#VALUE!</v>
      </c>
      <c r="HM1" t="e">
        <f>AND('Application, maintenance'!J15,"AAAAAF/ev9w=")</f>
        <v>#VALUE!</v>
      </c>
      <c r="HN1" t="e">
        <f>AND('Application, maintenance'!K15,"AAAAAF/ev90=")</f>
        <v>#VALUE!</v>
      </c>
      <c r="HO1" t="e">
        <f>AND('Application, maintenance'!L15,"AAAAAF/ev94=")</f>
        <v>#VALUE!</v>
      </c>
      <c r="HP1" t="e">
        <f>AND('Application, maintenance'!M15,"AAAAAF/ev98=")</f>
        <v>#VALUE!</v>
      </c>
      <c r="HQ1" t="e">
        <f>AND('Application, maintenance'!N15,"AAAAAF/ev+A=")</f>
        <v>#VALUE!</v>
      </c>
      <c r="HR1">
        <f>IF('Application, maintenance'!16:16,"AAAAAF/ev+E=",0)</f>
        <v>0</v>
      </c>
      <c r="HS1" t="e">
        <f>AND('Application, maintenance'!A16,"AAAAAF/ev+I=")</f>
        <v>#VALUE!</v>
      </c>
      <c r="HT1" t="e">
        <f>AND('Application, maintenance'!B16,"AAAAAF/ev+M=")</f>
        <v>#VALUE!</v>
      </c>
      <c r="HU1" t="e">
        <f>AND('Application, maintenance'!C16,"AAAAAF/ev+Q=")</f>
        <v>#VALUE!</v>
      </c>
      <c r="HV1" t="e">
        <f>AND('Application, maintenance'!D16,"AAAAAF/ev+U=")</f>
        <v>#VALUE!</v>
      </c>
      <c r="HW1" t="e">
        <f>AND('Application, maintenance'!E16,"AAAAAF/ev+Y=")</f>
        <v>#VALUE!</v>
      </c>
      <c r="HX1" t="e">
        <f>AND('Application, maintenance'!F16,"AAAAAF/ev+c=")</f>
        <v>#VALUE!</v>
      </c>
      <c r="HY1" t="e">
        <f>AND('Application, maintenance'!G16,"AAAAAF/ev+g=")</f>
        <v>#VALUE!</v>
      </c>
      <c r="HZ1" t="e">
        <f>AND('Application, maintenance'!H16,"AAAAAF/ev+k=")</f>
        <v>#VALUE!</v>
      </c>
      <c r="IA1" t="e">
        <f>AND('Application, maintenance'!I16,"AAAAAF/ev+o=")</f>
        <v>#VALUE!</v>
      </c>
      <c r="IB1" t="e">
        <f>AND('Application, maintenance'!J16,"AAAAAF/ev+s=")</f>
        <v>#VALUE!</v>
      </c>
      <c r="IC1" t="e">
        <f>AND('Application, maintenance'!K16,"AAAAAF/ev+w=")</f>
        <v>#VALUE!</v>
      </c>
      <c r="ID1" t="e">
        <f>AND('Application, maintenance'!L16,"AAAAAF/ev+0=")</f>
        <v>#VALUE!</v>
      </c>
      <c r="IE1" t="e">
        <f>AND('Application, maintenance'!M16,"AAAAAF/ev+4=")</f>
        <v>#VALUE!</v>
      </c>
      <c r="IF1" t="e">
        <f>AND('Application, maintenance'!N16,"AAAAAF/ev+8=")</f>
        <v>#VALUE!</v>
      </c>
      <c r="IG1">
        <f>IF('Application, maintenance'!17:17,"AAAAAF/ev/A=",0)</f>
        <v>0</v>
      </c>
      <c r="IH1" t="e">
        <f>AND('Application, maintenance'!A17,"AAAAAF/ev/E=")</f>
        <v>#VALUE!</v>
      </c>
      <c r="II1" t="e">
        <f>AND('Application, maintenance'!B17,"AAAAAF/ev/I=")</f>
        <v>#VALUE!</v>
      </c>
      <c r="IJ1" t="e">
        <f>AND('Application, maintenance'!C17,"AAAAAF/ev/M=")</f>
        <v>#VALUE!</v>
      </c>
      <c r="IK1" t="e">
        <f>AND('Application, maintenance'!D17,"AAAAAF/ev/Q=")</f>
        <v>#VALUE!</v>
      </c>
      <c r="IL1" t="e">
        <f>AND('Application, maintenance'!E17,"AAAAAF/ev/U=")</f>
        <v>#VALUE!</v>
      </c>
      <c r="IM1" t="e">
        <f>AND('Application, maintenance'!F17,"AAAAAF/ev/Y=")</f>
        <v>#VALUE!</v>
      </c>
      <c r="IN1" t="e">
        <f>AND('Application, maintenance'!G17,"AAAAAF/ev/c=")</f>
        <v>#VALUE!</v>
      </c>
      <c r="IO1" t="e">
        <f>AND('Application, maintenance'!H17,"AAAAAF/ev/g=")</f>
        <v>#VALUE!</v>
      </c>
      <c r="IP1" t="e">
        <f>AND('Application, maintenance'!I17,"AAAAAF/ev/k=")</f>
        <v>#VALUE!</v>
      </c>
      <c r="IQ1" t="e">
        <f>AND('Application, maintenance'!J17,"AAAAAF/ev/o=")</f>
        <v>#VALUE!</v>
      </c>
      <c r="IR1" t="e">
        <f>AND('Application, maintenance'!K17,"AAAAAF/ev/s=")</f>
        <v>#VALUE!</v>
      </c>
      <c r="IS1" t="e">
        <f>AND('Application, maintenance'!L17,"AAAAAF/ev/w=")</f>
        <v>#VALUE!</v>
      </c>
      <c r="IT1" t="e">
        <f>AND('Application, maintenance'!M17,"AAAAAF/ev/0=")</f>
        <v>#VALUE!</v>
      </c>
      <c r="IU1" t="e">
        <f>AND('Application, maintenance'!N17,"AAAAAF/ev/4=")</f>
        <v>#VALUE!</v>
      </c>
      <c r="IV1">
        <f>IF('Application, maintenance'!18:18,"AAAAAF/ev/8=",0)</f>
        <v>0</v>
      </c>
    </row>
    <row r="2" spans="1:256" ht="12.75">
      <c r="A2" t="e">
        <f>AND('Application, maintenance'!A18,"AAAAAH796wA=")</f>
        <v>#VALUE!</v>
      </c>
      <c r="B2" t="e">
        <f>AND('Application, maintenance'!B18,"AAAAAH796wE=")</f>
        <v>#VALUE!</v>
      </c>
      <c r="C2" t="e">
        <f>AND('Application, maintenance'!C18,"AAAAAH796wI=")</f>
        <v>#VALUE!</v>
      </c>
      <c r="D2" t="e">
        <f>AND('Application, maintenance'!D18,"AAAAAH796wM=")</f>
        <v>#VALUE!</v>
      </c>
      <c r="E2" t="e">
        <f>AND('Application, maintenance'!E18,"AAAAAH796wQ=")</f>
        <v>#VALUE!</v>
      </c>
      <c r="F2" t="e">
        <f>AND('Application, maintenance'!F18,"AAAAAH796wU=")</f>
        <v>#VALUE!</v>
      </c>
      <c r="G2" t="e">
        <f>AND('Application, maintenance'!G18,"AAAAAH796wY=")</f>
        <v>#VALUE!</v>
      </c>
      <c r="H2" t="e">
        <f>AND('Application, maintenance'!H18,"AAAAAH796wc=")</f>
        <v>#VALUE!</v>
      </c>
      <c r="I2" t="e">
        <f>AND('Application, maintenance'!I18,"AAAAAH796wg=")</f>
        <v>#VALUE!</v>
      </c>
      <c r="J2" t="e">
        <f>AND('Application, maintenance'!J18,"AAAAAH796wk=")</f>
        <v>#VALUE!</v>
      </c>
      <c r="K2" t="e">
        <f>AND('Application, maintenance'!K18,"AAAAAH796wo=")</f>
        <v>#VALUE!</v>
      </c>
      <c r="L2" t="e">
        <f>AND('Application, maintenance'!L18,"AAAAAH796ws=")</f>
        <v>#VALUE!</v>
      </c>
      <c r="M2" t="e">
        <f>AND('Application, maintenance'!M18,"AAAAAH796ww=")</f>
        <v>#VALUE!</v>
      </c>
      <c r="N2" t="e">
        <f>AND('Application, maintenance'!N18,"AAAAAH796w0=")</f>
        <v>#VALUE!</v>
      </c>
      <c r="O2">
        <f>IF('Application, maintenance'!19:19,"AAAAAH796w4=",0)</f>
        <v>0</v>
      </c>
      <c r="P2" t="e">
        <f>AND('Application, maintenance'!A19,"AAAAAH796w8=")</f>
        <v>#VALUE!</v>
      </c>
      <c r="Q2" t="e">
        <f>AND('Application, maintenance'!B19,"AAAAAH796xA=")</f>
        <v>#VALUE!</v>
      </c>
      <c r="R2" t="e">
        <f>AND('Application, maintenance'!C19,"AAAAAH796xE=")</f>
        <v>#VALUE!</v>
      </c>
      <c r="S2" t="e">
        <f>AND('Application, maintenance'!D19,"AAAAAH796xI=")</f>
        <v>#VALUE!</v>
      </c>
      <c r="T2" t="e">
        <f>AND('Application, maintenance'!E19,"AAAAAH796xM=")</f>
        <v>#VALUE!</v>
      </c>
      <c r="U2" t="e">
        <f>AND('Application, maintenance'!F19,"AAAAAH796xQ=")</f>
        <v>#VALUE!</v>
      </c>
      <c r="V2" t="e">
        <f>AND('Application, maintenance'!G19,"AAAAAH796xU=")</f>
        <v>#VALUE!</v>
      </c>
      <c r="W2" t="e">
        <f>AND('Application, maintenance'!H19,"AAAAAH796xY=")</f>
        <v>#VALUE!</v>
      </c>
      <c r="X2" t="e">
        <f>AND('Application, maintenance'!I19,"AAAAAH796xc=")</f>
        <v>#VALUE!</v>
      </c>
      <c r="Y2" t="e">
        <f>AND('Application, maintenance'!J19,"AAAAAH796xg=")</f>
        <v>#VALUE!</v>
      </c>
      <c r="Z2" t="e">
        <f>AND('Application, maintenance'!K19,"AAAAAH796xk=")</f>
        <v>#VALUE!</v>
      </c>
      <c r="AA2" t="e">
        <f>AND('Application, maintenance'!L19,"AAAAAH796xo=")</f>
        <v>#VALUE!</v>
      </c>
      <c r="AB2" t="e">
        <f>AND('Application, maintenance'!M19,"AAAAAH796xs=")</f>
        <v>#VALUE!</v>
      </c>
      <c r="AC2" t="e">
        <f>AND('Application, maintenance'!N19,"AAAAAH796xw=")</f>
        <v>#VALUE!</v>
      </c>
      <c r="AD2">
        <f>IF('Application, maintenance'!20:20,"AAAAAH796x0=",0)</f>
        <v>0</v>
      </c>
      <c r="AE2" t="e">
        <f>AND('Application, maintenance'!A20,"AAAAAH796x4=")</f>
        <v>#VALUE!</v>
      </c>
      <c r="AF2" t="e">
        <f>AND('Application, maintenance'!B20,"AAAAAH796x8=")</f>
        <v>#VALUE!</v>
      </c>
      <c r="AG2" t="e">
        <f>AND('Application, maintenance'!C20,"AAAAAH796yA=")</f>
        <v>#VALUE!</v>
      </c>
      <c r="AH2" t="e">
        <f>AND('Application, maintenance'!D20,"AAAAAH796yE=")</f>
        <v>#VALUE!</v>
      </c>
      <c r="AI2" t="e">
        <f>AND('Application, maintenance'!E20,"AAAAAH796yI=")</f>
        <v>#VALUE!</v>
      </c>
      <c r="AJ2" t="e">
        <f>AND('Application, maintenance'!F20,"AAAAAH796yM=")</f>
        <v>#VALUE!</v>
      </c>
      <c r="AK2" t="e">
        <f>AND('Application, maintenance'!G20,"AAAAAH796yQ=")</f>
        <v>#VALUE!</v>
      </c>
      <c r="AL2" t="e">
        <f>AND('Application, maintenance'!H20,"AAAAAH796yU=")</f>
        <v>#VALUE!</v>
      </c>
      <c r="AM2" t="e">
        <f>AND('Application, maintenance'!I20,"AAAAAH796yY=")</f>
        <v>#VALUE!</v>
      </c>
      <c r="AN2" t="e">
        <f>AND('Application, maintenance'!J20,"AAAAAH796yc=")</f>
        <v>#VALUE!</v>
      </c>
      <c r="AO2" t="e">
        <f>AND('Application, maintenance'!K20,"AAAAAH796yg=")</f>
        <v>#VALUE!</v>
      </c>
      <c r="AP2" t="e">
        <f>AND('Application, maintenance'!L20,"AAAAAH796yk=")</f>
        <v>#VALUE!</v>
      </c>
      <c r="AQ2" t="e">
        <f>AND('Application, maintenance'!M20,"AAAAAH796yo=")</f>
        <v>#VALUE!</v>
      </c>
      <c r="AR2" t="e">
        <f>AND('Application, maintenance'!N20,"AAAAAH796ys=")</f>
        <v>#VALUE!</v>
      </c>
      <c r="AS2">
        <f>IF('Application, maintenance'!21:21,"AAAAAH796yw=",0)</f>
        <v>0</v>
      </c>
      <c r="AT2" t="e">
        <f>AND('Application, maintenance'!A21,"AAAAAH796y0=")</f>
        <v>#VALUE!</v>
      </c>
      <c r="AU2" t="e">
        <f>AND('Application, maintenance'!B21,"AAAAAH796y4=")</f>
        <v>#VALUE!</v>
      </c>
      <c r="AV2" t="e">
        <f>AND('Application, maintenance'!C21,"AAAAAH796y8=")</f>
        <v>#VALUE!</v>
      </c>
      <c r="AW2" t="e">
        <f>AND('Application, maintenance'!D21,"AAAAAH796zA=")</f>
        <v>#VALUE!</v>
      </c>
      <c r="AX2" t="e">
        <f>AND('Application, maintenance'!E21,"AAAAAH796zE=")</f>
        <v>#VALUE!</v>
      </c>
      <c r="AY2" t="e">
        <f>AND('Application, maintenance'!F21,"AAAAAH796zI=")</f>
        <v>#VALUE!</v>
      </c>
      <c r="AZ2" t="e">
        <f>AND('Application, maintenance'!G21,"AAAAAH796zM=")</f>
        <v>#VALUE!</v>
      </c>
      <c r="BA2" t="e">
        <f>AND('Application, maintenance'!H21,"AAAAAH796zQ=")</f>
        <v>#VALUE!</v>
      </c>
      <c r="BB2" t="e">
        <f>AND('Application, maintenance'!I21,"AAAAAH796zU=")</f>
        <v>#VALUE!</v>
      </c>
      <c r="BC2" t="e">
        <f>AND('Application, maintenance'!J21,"AAAAAH796zY=")</f>
        <v>#VALUE!</v>
      </c>
      <c r="BD2" t="e">
        <f>AND('Application, maintenance'!K21,"AAAAAH796zc=")</f>
        <v>#VALUE!</v>
      </c>
      <c r="BE2" t="e">
        <f>AND('Application, maintenance'!L21,"AAAAAH796zg=")</f>
        <v>#VALUE!</v>
      </c>
      <c r="BF2" t="e">
        <f>AND('Application, maintenance'!M21,"AAAAAH796zk=")</f>
        <v>#VALUE!</v>
      </c>
      <c r="BG2" t="e">
        <f>AND('Application, maintenance'!N21,"AAAAAH796zo=")</f>
        <v>#VALUE!</v>
      </c>
      <c r="BH2">
        <f>IF('Application, maintenance'!22:22,"AAAAAH796zs=",0)</f>
        <v>0</v>
      </c>
      <c r="BI2" t="e">
        <f>AND('Application, maintenance'!A22,"AAAAAH796zw=")</f>
        <v>#VALUE!</v>
      </c>
      <c r="BJ2" t="e">
        <f>AND('Application, maintenance'!B22,"AAAAAH796z0=")</f>
        <v>#VALUE!</v>
      </c>
      <c r="BK2" t="e">
        <f>AND('Application, maintenance'!C22,"AAAAAH796z4=")</f>
        <v>#VALUE!</v>
      </c>
      <c r="BL2" t="e">
        <f>AND('Application, maintenance'!D22,"AAAAAH796z8=")</f>
        <v>#VALUE!</v>
      </c>
      <c r="BM2" t="e">
        <f>AND('Application, maintenance'!E22,"AAAAAH7960A=")</f>
        <v>#VALUE!</v>
      </c>
      <c r="BN2" t="e">
        <f>AND('Application, maintenance'!F22,"AAAAAH7960E=")</f>
        <v>#VALUE!</v>
      </c>
      <c r="BO2" t="e">
        <f>AND('Application, maintenance'!G22,"AAAAAH7960I=")</f>
        <v>#VALUE!</v>
      </c>
      <c r="BP2" t="e">
        <f>AND('Application, maintenance'!H22,"AAAAAH7960M=")</f>
        <v>#VALUE!</v>
      </c>
      <c r="BQ2" t="e">
        <f>AND('Application, maintenance'!I22,"AAAAAH7960Q=")</f>
        <v>#VALUE!</v>
      </c>
      <c r="BR2" t="e">
        <f>AND('Application, maintenance'!J22,"AAAAAH7960U=")</f>
        <v>#VALUE!</v>
      </c>
      <c r="BS2" t="e">
        <f>AND('Application, maintenance'!K22,"AAAAAH7960Y=")</f>
        <v>#VALUE!</v>
      </c>
      <c r="BT2" t="e">
        <f>AND('Application, maintenance'!L22,"AAAAAH7960c=")</f>
        <v>#VALUE!</v>
      </c>
      <c r="BU2" t="e">
        <f>AND('Application, maintenance'!M22,"AAAAAH7960g=")</f>
        <v>#VALUE!</v>
      </c>
      <c r="BV2" t="e">
        <f>AND('Application, maintenance'!N22,"AAAAAH7960k=")</f>
        <v>#VALUE!</v>
      </c>
      <c r="BW2">
        <f>IF('Application, maintenance'!23:23,"AAAAAH7960o=",0)</f>
        <v>0</v>
      </c>
      <c r="BX2" t="e">
        <f>AND('Application, maintenance'!A23,"AAAAAH7960s=")</f>
        <v>#VALUE!</v>
      </c>
      <c r="BY2" t="e">
        <f>AND('Application, maintenance'!B23,"AAAAAH7960w=")</f>
        <v>#VALUE!</v>
      </c>
      <c r="BZ2" t="e">
        <f>AND('Application, maintenance'!C23,"AAAAAH79600=")</f>
        <v>#VALUE!</v>
      </c>
      <c r="CA2" t="e">
        <f>AND('Application, maintenance'!D23,"AAAAAH79604=")</f>
        <v>#VALUE!</v>
      </c>
      <c r="CB2" t="e">
        <f>AND('Application, maintenance'!E23,"AAAAAH79608=")</f>
        <v>#VALUE!</v>
      </c>
      <c r="CC2" t="e">
        <f>AND('Application, maintenance'!F23,"AAAAAH7961A=")</f>
        <v>#VALUE!</v>
      </c>
      <c r="CD2" t="e">
        <f>AND('Application, maintenance'!G23,"AAAAAH7961E=")</f>
        <v>#VALUE!</v>
      </c>
      <c r="CE2" t="e">
        <f>AND('Application, maintenance'!H23,"AAAAAH7961I=")</f>
        <v>#VALUE!</v>
      </c>
      <c r="CF2" t="e">
        <f>AND('Application, maintenance'!I23,"AAAAAH7961M=")</f>
        <v>#VALUE!</v>
      </c>
      <c r="CG2" t="e">
        <f>AND('Application, maintenance'!J23,"AAAAAH7961Q=")</f>
        <v>#VALUE!</v>
      </c>
      <c r="CH2" t="e">
        <f>AND('Application, maintenance'!K23,"AAAAAH7961U=")</f>
        <v>#VALUE!</v>
      </c>
      <c r="CI2" t="e">
        <f>AND('Application, maintenance'!L23,"AAAAAH7961Y=")</f>
        <v>#VALUE!</v>
      </c>
      <c r="CJ2" t="e">
        <f>AND('Application, maintenance'!M23,"AAAAAH7961c=")</f>
        <v>#VALUE!</v>
      </c>
      <c r="CK2" t="e">
        <f>AND('Application, maintenance'!N23,"AAAAAH7961g=")</f>
        <v>#VALUE!</v>
      </c>
      <c r="CL2">
        <f>IF('Application, maintenance'!24:24,"AAAAAH7961k=",0)</f>
        <v>0</v>
      </c>
      <c r="CM2" t="e">
        <f>AND('Application, maintenance'!A24,"AAAAAH7961o=")</f>
        <v>#VALUE!</v>
      </c>
      <c r="CN2" t="e">
        <f>AND('Application, maintenance'!B24,"AAAAAH7961s=")</f>
        <v>#VALUE!</v>
      </c>
      <c r="CO2" t="e">
        <f>AND('Application, maintenance'!C24,"AAAAAH7961w=")</f>
        <v>#VALUE!</v>
      </c>
      <c r="CP2" t="e">
        <f>AND('Application, maintenance'!D24,"AAAAAH79610=")</f>
        <v>#VALUE!</v>
      </c>
      <c r="CQ2" t="e">
        <f>AND('Application, maintenance'!E24,"AAAAAH79614=")</f>
        <v>#VALUE!</v>
      </c>
      <c r="CR2" t="e">
        <f>AND('Application, maintenance'!F24,"AAAAAH79618=")</f>
        <v>#VALUE!</v>
      </c>
      <c r="CS2" t="e">
        <f>AND('Application, maintenance'!G24,"AAAAAH7962A=")</f>
        <v>#VALUE!</v>
      </c>
      <c r="CT2" t="e">
        <f>AND('Application, maintenance'!H24,"AAAAAH7962E=")</f>
        <v>#VALUE!</v>
      </c>
      <c r="CU2" t="e">
        <f>AND('Application, maintenance'!I24,"AAAAAH7962I=")</f>
        <v>#VALUE!</v>
      </c>
      <c r="CV2" t="e">
        <f>AND('Application, maintenance'!J24,"AAAAAH7962M=")</f>
        <v>#VALUE!</v>
      </c>
      <c r="CW2" t="e">
        <f>AND('Application, maintenance'!K24,"AAAAAH7962Q=")</f>
        <v>#VALUE!</v>
      </c>
      <c r="CX2" t="e">
        <f>AND('Application, maintenance'!L24,"AAAAAH7962U=")</f>
        <v>#VALUE!</v>
      </c>
      <c r="CY2" t="e">
        <f>AND('Application, maintenance'!M24,"AAAAAH7962Y=")</f>
        <v>#VALUE!</v>
      </c>
      <c r="CZ2" t="e">
        <f>AND('Application, maintenance'!N24,"AAAAAH7962c=")</f>
        <v>#VALUE!</v>
      </c>
      <c r="DA2">
        <f>IF('Application, maintenance'!25:25,"AAAAAH7962g=",0)</f>
        <v>0</v>
      </c>
      <c r="DB2" t="e">
        <f>AND('Application, maintenance'!A25,"AAAAAH7962k=")</f>
        <v>#VALUE!</v>
      </c>
      <c r="DC2" t="e">
        <f>AND('Application, maintenance'!B25,"AAAAAH7962o=")</f>
        <v>#VALUE!</v>
      </c>
      <c r="DD2" t="e">
        <f>AND('Application, maintenance'!C25,"AAAAAH7962s=")</f>
        <v>#VALUE!</v>
      </c>
      <c r="DE2" t="e">
        <f>AND('Application, maintenance'!D25,"AAAAAH7962w=")</f>
        <v>#VALUE!</v>
      </c>
      <c r="DF2" t="e">
        <f>AND('Application, maintenance'!E25,"AAAAAH79620=")</f>
        <v>#VALUE!</v>
      </c>
      <c r="DG2" t="e">
        <f>AND('Application, maintenance'!F25,"AAAAAH79624=")</f>
        <v>#VALUE!</v>
      </c>
      <c r="DH2" t="e">
        <f>AND('Application, maintenance'!G25,"AAAAAH79628=")</f>
        <v>#VALUE!</v>
      </c>
      <c r="DI2" t="e">
        <f>AND('Application, maintenance'!H25,"AAAAAH7963A=")</f>
        <v>#VALUE!</v>
      </c>
      <c r="DJ2" t="e">
        <f>AND('Application, maintenance'!I25,"AAAAAH7963E=")</f>
        <v>#VALUE!</v>
      </c>
      <c r="DK2" t="e">
        <f>AND('Application, maintenance'!J25,"AAAAAH7963I=")</f>
        <v>#VALUE!</v>
      </c>
      <c r="DL2" t="e">
        <f>AND('Application, maintenance'!K25,"AAAAAH7963M=")</f>
        <v>#VALUE!</v>
      </c>
      <c r="DM2" t="e">
        <f>AND('Application, maintenance'!L25,"AAAAAH7963Q=")</f>
        <v>#VALUE!</v>
      </c>
      <c r="DN2" t="e">
        <f>AND('Application, maintenance'!M25,"AAAAAH7963U=")</f>
        <v>#VALUE!</v>
      </c>
      <c r="DO2" t="e">
        <f>AND('Application, maintenance'!N25,"AAAAAH7963Y=")</f>
        <v>#VALUE!</v>
      </c>
      <c r="DP2">
        <f>IF('Application, maintenance'!26:26,"AAAAAH7963c=",0)</f>
        <v>0</v>
      </c>
      <c r="DQ2" t="e">
        <f>AND('Application, maintenance'!A26,"AAAAAH7963g=")</f>
        <v>#VALUE!</v>
      </c>
      <c r="DR2" t="e">
        <f>AND('Application, maintenance'!B26,"AAAAAH7963k=")</f>
        <v>#VALUE!</v>
      </c>
      <c r="DS2" t="e">
        <f>AND('Application, maintenance'!C26,"AAAAAH7963o=")</f>
        <v>#VALUE!</v>
      </c>
      <c r="DT2" t="e">
        <f>AND('Application, maintenance'!D26,"AAAAAH7963s=")</f>
        <v>#VALUE!</v>
      </c>
      <c r="DU2" t="e">
        <f>AND('Application, maintenance'!E26,"AAAAAH7963w=")</f>
        <v>#VALUE!</v>
      </c>
      <c r="DV2" t="e">
        <f>AND('Application, maintenance'!F26,"AAAAAH79630=")</f>
        <v>#VALUE!</v>
      </c>
      <c r="DW2" t="e">
        <f>AND('Application, maintenance'!G26,"AAAAAH79634=")</f>
        <v>#VALUE!</v>
      </c>
      <c r="DX2" t="e">
        <f>AND('Application, maintenance'!H26,"AAAAAH79638=")</f>
        <v>#VALUE!</v>
      </c>
      <c r="DY2" t="e">
        <f>AND('Application, maintenance'!I26,"AAAAAH7964A=")</f>
        <v>#VALUE!</v>
      </c>
      <c r="DZ2" t="e">
        <f>AND('Application, maintenance'!J26,"AAAAAH7964E=")</f>
        <v>#VALUE!</v>
      </c>
      <c r="EA2" t="e">
        <f>AND('Application, maintenance'!K26,"AAAAAH7964I=")</f>
        <v>#VALUE!</v>
      </c>
      <c r="EB2" t="e">
        <f>AND('Application, maintenance'!L26,"AAAAAH7964M=")</f>
        <v>#VALUE!</v>
      </c>
      <c r="EC2" t="e">
        <f>AND('Application, maintenance'!M26,"AAAAAH7964Q=")</f>
        <v>#VALUE!</v>
      </c>
      <c r="ED2" t="e">
        <f>AND('Application, maintenance'!N26,"AAAAAH7964U=")</f>
        <v>#VALUE!</v>
      </c>
      <c r="EE2">
        <f>IF('Application, maintenance'!27:27,"AAAAAH7964Y=",0)</f>
        <v>0</v>
      </c>
      <c r="EF2" t="e">
        <f>AND('Application, maintenance'!A27,"AAAAAH7964c=")</f>
        <v>#VALUE!</v>
      </c>
      <c r="EG2" t="e">
        <f>AND('Application, maintenance'!B27,"AAAAAH7964g=")</f>
        <v>#VALUE!</v>
      </c>
      <c r="EH2" t="e">
        <f>AND('Application, maintenance'!C27,"AAAAAH7964k=")</f>
        <v>#VALUE!</v>
      </c>
      <c r="EI2" t="e">
        <f>AND('Application, maintenance'!D27,"AAAAAH7964o=")</f>
        <v>#VALUE!</v>
      </c>
      <c r="EJ2" t="e">
        <f>AND('Application, maintenance'!E27,"AAAAAH7964s=")</f>
        <v>#VALUE!</v>
      </c>
      <c r="EK2" t="e">
        <f>AND('Application, maintenance'!F27,"AAAAAH7964w=")</f>
        <v>#VALUE!</v>
      </c>
      <c r="EL2" t="e">
        <f>AND('Application, maintenance'!G27,"AAAAAH79640=")</f>
        <v>#VALUE!</v>
      </c>
      <c r="EM2" t="e">
        <f>AND('Application, maintenance'!H27,"AAAAAH79644=")</f>
        <v>#VALUE!</v>
      </c>
      <c r="EN2" t="e">
        <f>AND('Application, maintenance'!I27,"AAAAAH79648=")</f>
        <v>#VALUE!</v>
      </c>
      <c r="EO2" t="e">
        <f>AND('Application, maintenance'!J27,"AAAAAH7965A=")</f>
        <v>#VALUE!</v>
      </c>
      <c r="EP2" t="e">
        <f>AND('Application, maintenance'!K27,"AAAAAH7965E=")</f>
        <v>#VALUE!</v>
      </c>
      <c r="EQ2" t="e">
        <f>AND('Application, maintenance'!L27,"AAAAAH7965I=")</f>
        <v>#VALUE!</v>
      </c>
      <c r="ER2" t="e">
        <f>AND('Application, maintenance'!M27,"AAAAAH7965M=")</f>
        <v>#VALUE!</v>
      </c>
      <c r="ES2" t="e">
        <f>AND('Application, maintenance'!N27,"AAAAAH7965Q=")</f>
        <v>#VALUE!</v>
      </c>
      <c r="ET2">
        <f>IF('Application, maintenance'!28:28,"AAAAAH7965U=",0)</f>
        <v>0</v>
      </c>
      <c r="EU2" t="e">
        <f>AND('Application, maintenance'!A28,"AAAAAH7965Y=")</f>
        <v>#VALUE!</v>
      </c>
      <c r="EV2" t="e">
        <f>AND('Application, maintenance'!B28,"AAAAAH7965c=")</f>
        <v>#VALUE!</v>
      </c>
      <c r="EW2" t="e">
        <f>AND('Application, maintenance'!C28,"AAAAAH7965g=")</f>
        <v>#VALUE!</v>
      </c>
      <c r="EX2" t="e">
        <f>AND('Application, maintenance'!D28,"AAAAAH7965k=")</f>
        <v>#VALUE!</v>
      </c>
      <c r="EY2" t="e">
        <f>AND('Application, maintenance'!E28,"AAAAAH7965o=")</f>
        <v>#VALUE!</v>
      </c>
      <c r="EZ2" t="e">
        <f>AND('Application, maintenance'!F28,"AAAAAH7965s=")</f>
        <v>#VALUE!</v>
      </c>
      <c r="FA2" t="e">
        <f>AND('Application, maintenance'!G28,"AAAAAH7965w=")</f>
        <v>#VALUE!</v>
      </c>
      <c r="FB2" t="e">
        <f>AND('Application, maintenance'!H28,"AAAAAH79650=")</f>
        <v>#VALUE!</v>
      </c>
      <c r="FC2" t="e">
        <f>AND('Application, maintenance'!I28,"AAAAAH79654=")</f>
        <v>#VALUE!</v>
      </c>
      <c r="FD2" t="e">
        <f>AND('Application, maintenance'!J28,"AAAAAH79658=")</f>
        <v>#VALUE!</v>
      </c>
      <c r="FE2" t="e">
        <f>AND('Application, maintenance'!K28,"AAAAAH7966A=")</f>
        <v>#VALUE!</v>
      </c>
      <c r="FF2" t="e">
        <f>AND('Application, maintenance'!L28,"AAAAAH7966E=")</f>
        <v>#VALUE!</v>
      </c>
      <c r="FG2" t="e">
        <f>AND('Application, maintenance'!M28,"AAAAAH7966I=")</f>
        <v>#VALUE!</v>
      </c>
      <c r="FH2" t="e">
        <f>AND('Application, maintenance'!N28,"AAAAAH7966M=")</f>
        <v>#VALUE!</v>
      </c>
      <c r="FI2">
        <f>IF('Application, maintenance'!29:29,"AAAAAH7966Q=",0)</f>
        <v>0</v>
      </c>
      <c r="FJ2" t="e">
        <f>AND('Application, maintenance'!A29,"AAAAAH7966U=")</f>
        <v>#VALUE!</v>
      </c>
      <c r="FK2" t="e">
        <f>AND('Application, maintenance'!B29,"AAAAAH7966Y=")</f>
        <v>#VALUE!</v>
      </c>
      <c r="FL2" t="e">
        <f>AND('Application, maintenance'!C29,"AAAAAH7966c=")</f>
        <v>#VALUE!</v>
      </c>
      <c r="FM2" t="e">
        <f>AND('Application, maintenance'!D29,"AAAAAH7966g=")</f>
        <v>#VALUE!</v>
      </c>
      <c r="FN2" t="e">
        <f>AND('Application, maintenance'!E29,"AAAAAH7966k=")</f>
        <v>#VALUE!</v>
      </c>
      <c r="FO2" t="e">
        <f>AND('Application, maintenance'!F29,"AAAAAH7966o=")</f>
        <v>#VALUE!</v>
      </c>
      <c r="FP2" t="e">
        <f>AND('Application, maintenance'!G29,"AAAAAH7966s=")</f>
        <v>#VALUE!</v>
      </c>
      <c r="FQ2" t="e">
        <f>AND('Application, maintenance'!H29,"AAAAAH7966w=")</f>
        <v>#VALUE!</v>
      </c>
      <c r="FR2" t="e">
        <f>AND('Application, maintenance'!I29,"AAAAAH79660=")</f>
        <v>#VALUE!</v>
      </c>
      <c r="FS2" t="e">
        <f>AND('Application, maintenance'!J29,"AAAAAH79664=")</f>
        <v>#VALUE!</v>
      </c>
      <c r="FT2" t="e">
        <f>AND('Application, maintenance'!K29,"AAAAAH79668=")</f>
        <v>#VALUE!</v>
      </c>
      <c r="FU2" t="e">
        <f>AND('Application, maintenance'!L29,"AAAAAH7967A=")</f>
        <v>#VALUE!</v>
      </c>
      <c r="FV2" t="e">
        <f>AND('Application, maintenance'!M29,"AAAAAH7967E=")</f>
        <v>#VALUE!</v>
      </c>
      <c r="FW2" t="e">
        <f>AND('Application, maintenance'!N29,"AAAAAH7967I=")</f>
        <v>#VALUE!</v>
      </c>
      <c r="FX2">
        <f>IF('Application, maintenance'!30:30,"AAAAAH7967M=",0)</f>
        <v>0</v>
      </c>
      <c r="FY2" t="e">
        <f>AND('Application, maintenance'!A30,"AAAAAH7967Q=")</f>
        <v>#VALUE!</v>
      </c>
      <c r="FZ2" t="e">
        <f>AND('Application, maintenance'!B30,"AAAAAH7967U=")</f>
        <v>#VALUE!</v>
      </c>
      <c r="GA2" t="e">
        <f>AND('Application, maintenance'!C30,"AAAAAH7967Y=")</f>
        <v>#VALUE!</v>
      </c>
      <c r="GB2" t="e">
        <f>AND('Application, maintenance'!D30,"AAAAAH7967c=")</f>
        <v>#VALUE!</v>
      </c>
      <c r="GC2" t="e">
        <f>AND('Application, maintenance'!E30,"AAAAAH7967g=")</f>
        <v>#VALUE!</v>
      </c>
      <c r="GD2" t="e">
        <f>AND('Application, maintenance'!F30,"AAAAAH7967k=")</f>
        <v>#VALUE!</v>
      </c>
      <c r="GE2" t="e">
        <f>AND('Application, maintenance'!G30,"AAAAAH7967o=")</f>
        <v>#VALUE!</v>
      </c>
      <c r="GF2" t="e">
        <f>AND('Application, maintenance'!H30,"AAAAAH7967s=")</f>
        <v>#VALUE!</v>
      </c>
      <c r="GG2" t="e">
        <f>AND('Application, maintenance'!I30,"AAAAAH7967w=")</f>
        <v>#VALUE!</v>
      </c>
      <c r="GH2" t="e">
        <f>AND('Application, maintenance'!J30,"AAAAAH79670=")</f>
        <v>#VALUE!</v>
      </c>
      <c r="GI2" t="e">
        <f>AND('Application, maintenance'!K30,"AAAAAH79674=")</f>
        <v>#VALUE!</v>
      </c>
      <c r="GJ2" t="e">
        <f>AND('Application, maintenance'!L30,"AAAAAH79678=")</f>
        <v>#VALUE!</v>
      </c>
      <c r="GK2" t="e">
        <f>AND('Application, maintenance'!M30,"AAAAAH7968A=")</f>
        <v>#VALUE!</v>
      </c>
      <c r="GL2" t="e">
        <f>AND('Application, maintenance'!N30,"AAAAAH7968E=")</f>
        <v>#VALUE!</v>
      </c>
      <c r="GM2">
        <f>IF('Application, maintenance'!31:31,"AAAAAH7968I=",0)</f>
        <v>0</v>
      </c>
      <c r="GN2" t="e">
        <f>AND('Application, maintenance'!A31,"AAAAAH7968M=")</f>
        <v>#VALUE!</v>
      </c>
      <c r="GO2" t="e">
        <f>AND('Application, maintenance'!B31,"AAAAAH7968Q=")</f>
        <v>#VALUE!</v>
      </c>
      <c r="GP2" t="e">
        <f>AND('Application, maintenance'!C31,"AAAAAH7968U=")</f>
        <v>#VALUE!</v>
      </c>
      <c r="GQ2" t="e">
        <f>AND('Application, maintenance'!D31,"AAAAAH7968Y=")</f>
        <v>#VALUE!</v>
      </c>
      <c r="GR2" t="e">
        <f>AND('Application, maintenance'!E31,"AAAAAH7968c=")</f>
        <v>#VALUE!</v>
      </c>
      <c r="GS2" t="e">
        <f>AND('Application, maintenance'!F31,"AAAAAH7968g=")</f>
        <v>#VALUE!</v>
      </c>
      <c r="GT2" t="e">
        <f>AND('Application, maintenance'!G31,"AAAAAH7968k=")</f>
        <v>#VALUE!</v>
      </c>
      <c r="GU2" t="e">
        <f>AND('Application, maintenance'!H31,"AAAAAH7968o=")</f>
        <v>#VALUE!</v>
      </c>
      <c r="GV2" t="e">
        <f>AND('Application, maintenance'!I31,"AAAAAH7968s=")</f>
        <v>#VALUE!</v>
      </c>
      <c r="GW2" t="e">
        <f>AND('Application, maintenance'!J31,"AAAAAH7968w=")</f>
        <v>#VALUE!</v>
      </c>
      <c r="GX2" t="e">
        <f>AND('Application, maintenance'!K31,"AAAAAH79680=")</f>
        <v>#VALUE!</v>
      </c>
      <c r="GY2" t="e">
        <f>AND('Application, maintenance'!L31,"AAAAAH79684=")</f>
        <v>#VALUE!</v>
      </c>
      <c r="GZ2" t="e">
        <f>AND('Application, maintenance'!M31,"AAAAAH79688=")</f>
        <v>#VALUE!</v>
      </c>
      <c r="HA2" t="e">
        <f>AND('Application, maintenance'!N31,"AAAAAH7969A=")</f>
        <v>#VALUE!</v>
      </c>
      <c r="HB2">
        <f>IF('Application, maintenance'!32:32,"AAAAAH7969E=",0)</f>
        <v>0</v>
      </c>
      <c r="HC2" t="e">
        <f>AND('Application, maintenance'!A32,"AAAAAH7969I=")</f>
        <v>#VALUE!</v>
      </c>
      <c r="HD2" t="e">
        <f>AND('Application, maintenance'!B32,"AAAAAH7969M=")</f>
        <v>#VALUE!</v>
      </c>
      <c r="HE2" t="e">
        <f>AND('Application, maintenance'!C32,"AAAAAH7969Q=")</f>
        <v>#VALUE!</v>
      </c>
      <c r="HF2" t="e">
        <f>AND('Application, maintenance'!D32,"AAAAAH7969U=")</f>
        <v>#VALUE!</v>
      </c>
      <c r="HG2" t="e">
        <f>AND('Application, maintenance'!E32,"AAAAAH7969Y=")</f>
        <v>#VALUE!</v>
      </c>
      <c r="HH2" t="e">
        <f>AND('Application, maintenance'!F32,"AAAAAH7969c=")</f>
        <v>#VALUE!</v>
      </c>
      <c r="HI2" t="e">
        <f>AND('Application, maintenance'!G32,"AAAAAH7969g=")</f>
        <v>#VALUE!</v>
      </c>
      <c r="HJ2" t="e">
        <f>AND('Application, maintenance'!H32,"AAAAAH7969k=")</f>
        <v>#VALUE!</v>
      </c>
      <c r="HK2" t="e">
        <f>AND('Application, maintenance'!I32,"AAAAAH7969o=")</f>
        <v>#VALUE!</v>
      </c>
      <c r="HL2" t="e">
        <f>AND('Application, maintenance'!J32,"AAAAAH7969s=")</f>
        <v>#VALUE!</v>
      </c>
      <c r="HM2" t="e">
        <f>AND('Application, maintenance'!K32,"AAAAAH7969w=")</f>
        <v>#VALUE!</v>
      </c>
      <c r="HN2" t="e">
        <f>AND('Application, maintenance'!L32,"AAAAAH79690=")</f>
        <v>#VALUE!</v>
      </c>
      <c r="HO2" t="e">
        <f>AND('Application, maintenance'!M32,"AAAAAH79694=")</f>
        <v>#VALUE!</v>
      </c>
      <c r="HP2" t="e">
        <f>AND('Application, maintenance'!N32,"AAAAAH79698=")</f>
        <v>#VALUE!</v>
      </c>
      <c r="HQ2">
        <f>IF('Application, maintenance'!33:33,"AAAAAH796+A=",0)</f>
        <v>0</v>
      </c>
      <c r="HR2" t="e">
        <f>AND('Application, maintenance'!A33,"AAAAAH796+E=")</f>
        <v>#VALUE!</v>
      </c>
      <c r="HS2" t="e">
        <f>AND('Application, maintenance'!B33,"AAAAAH796+I=")</f>
        <v>#VALUE!</v>
      </c>
      <c r="HT2" t="e">
        <f>AND('Application, maintenance'!C33,"AAAAAH796+M=")</f>
        <v>#VALUE!</v>
      </c>
      <c r="HU2" t="e">
        <f>AND('Application, maintenance'!D33,"AAAAAH796+Q=")</f>
        <v>#VALUE!</v>
      </c>
      <c r="HV2" t="e">
        <f>AND('Application, maintenance'!E33,"AAAAAH796+U=")</f>
        <v>#VALUE!</v>
      </c>
      <c r="HW2" t="e">
        <f>AND('Application, maintenance'!F33,"AAAAAH796+Y=")</f>
        <v>#VALUE!</v>
      </c>
      <c r="HX2" t="e">
        <f>AND('Application, maintenance'!G33,"AAAAAH796+c=")</f>
        <v>#VALUE!</v>
      </c>
      <c r="HY2" t="e">
        <f>AND('Application, maintenance'!H33,"AAAAAH796+g=")</f>
        <v>#VALUE!</v>
      </c>
      <c r="HZ2" t="e">
        <f>AND('Application, maintenance'!I33,"AAAAAH796+k=")</f>
        <v>#VALUE!</v>
      </c>
      <c r="IA2" t="e">
        <f>AND('Application, maintenance'!J33,"AAAAAH796+o=")</f>
        <v>#VALUE!</v>
      </c>
      <c r="IB2" t="e">
        <f>AND('Application, maintenance'!K33,"AAAAAH796+s=")</f>
        <v>#VALUE!</v>
      </c>
      <c r="IC2" t="e">
        <f>AND('Application, maintenance'!L33,"AAAAAH796+w=")</f>
        <v>#VALUE!</v>
      </c>
      <c r="ID2" t="e">
        <f>AND('Application, maintenance'!M33,"AAAAAH796+0=")</f>
        <v>#VALUE!</v>
      </c>
      <c r="IE2" t="e">
        <f>AND('Application, maintenance'!N33,"AAAAAH796+4=")</f>
        <v>#VALUE!</v>
      </c>
      <c r="IF2">
        <f>IF('Application, maintenance'!34:34,"AAAAAH796+8=",0)</f>
        <v>0</v>
      </c>
      <c r="IG2" t="e">
        <f>AND('Application, maintenance'!A34,"AAAAAH796/A=")</f>
        <v>#VALUE!</v>
      </c>
      <c r="IH2" t="e">
        <f>AND('Application, maintenance'!B34,"AAAAAH796/E=")</f>
        <v>#VALUE!</v>
      </c>
      <c r="II2" t="e">
        <f>AND('Application, maintenance'!C34,"AAAAAH796/I=")</f>
        <v>#VALUE!</v>
      </c>
      <c r="IJ2" t="e">
        <f>AND('Application, maintenance'!D34,"AAAAAH796/M=")</f>
        <v>#VALUE!</v>
      </c>
      <c r="IK2" t="e">
        <f>AND('Application, maintenance'!E34,"AAAAAH796/Q=")</f>
        <v>#VALUE!</v>
      </c>
      <c r="IL2" t="e">
        <f>AND('Application, maintenance'!F34,"AAAAAH796/U=")</f>
        <v>#VALUE!</v>
      </c>
      <c r="IM2" t="e">
        <f>AND('Application, maintenance'!G34,"AAAAAH796/Y=")</f>
        <v>#VALUE!</v>
      </c>
      <c r="IN2" t="e">
        <f>AND('Application, maintenance'!H34,"AAAAAH796/c=")</f>
        <v>#VALUE!</v>
      </c>
      <c r="IO2" t="e">
        <f>AND('Application, maintenance'!I34,"AAAAAH796/g=")</f>
        <v>#VALUE!</v>
      </c>
      <c r="IP2" t="e">
        <f>AND('Application, maintenance'!J34,"AAAAAH796/k=")</f>
        <v>#VALUE!</v>
      </c>
      <c r="IQ2" t="e">
        <f>AND('Application, maintenance'!K34,"AAAAAH796/o=")</f>
        <v>#VALUE!</v>
      </c>
      <c r="IR2" t="e">
        <f>AND('Application, maintenance'!L34,"AAAAAH796/s=")</f>
        <v>#VALUE!</v>
      </c>
      <c r="IS2" t="e">
        <f>AND('Application, maintenance'!M34,"AAAAAH796/w=")</f>
        <v>#VALUE!</v>
      </c>
      <c r="IT2" t="e">
        <f>AND('Application, maintenance'!N34,"AAAAAH796/0=")</f>
        <v>#VALUE!</v>
      </c>
      <c r="IU2">
        <f>IF('Application, maintenance'!35:35,"AAAAAH796/4=",0)</f>
        <v>0</v>
      </c>
      <c r="IV2" t="e">
        <f>AND('Application, maintenance'!A35,"AAAAAH796/8=")</f>
        <v>#VALUE!</v>
      </c>
    </row>
    <row r="3" spans="1:256" ht="12.75">
      <c r="A3" t="e">
        <f>AND('Application, maintenance'!B35,"AAAAAHa8dwA=")</f>
        <v>#VALUE!</v>
      </c>
      <c r="B3" t="e">
        <f>AND('Application, maintenance'!C35,"AAAAAHa8dwE=")</f>
        <v>#VALUE!</v>
      </c>
      <c r="C3" t="e">
        <f>AND('Application, maintenance'!D35,"AAAAAHa8dwI=")</f>
        <v>#VALUE!</v>
      </c>
      <c r="D3" t="e">
        <f>AND('Application, maintenance'!E35,"AAAAAHa8dwM=")</f>
        <v>#VALUE!</v>
      </c>
      <c r="E3" t="e">
        <f>AND('Application, maintenance'!F35,"AAAAAHa8dwQ=")</f>
        <v>#VALUE!</v>
      </c>
      <c r="F3" t="e">
        <f>AND('Application, maintenance'!G35,"AAAAAHa8dwU=")</f>
        <v>#VALUE!</v>
      </c>
      <c r="G3" t="e">
        <f>AND('Application, maintenance'!H35,"AAAAAHa8dwY=")</f>
        <v>#VALUE!</v>
      </c>
      <c r="H3" t="e">
        <f>AND('Application, maintenance'!I35,"AAAAAHa8dwc=")</f>
        <v>#VALUE!</v>
      </c>
      <c r="I3" t="e">
        <f>AND('Application, maintenance'!J35,"AAAAAHa8dwg=")</f>
        <v>#VALUE!</v>
      </c>
      <c r="J3" t="e">
        <f>AND('Application, maintenance'!K35,"AAAAAHa8dwk=")</f>
        <v>#VALUE!</v>
      </c>
      <c r="K3" t="e">
        <f>AND('Application, maintenance'!L35,"AAAAAHa8dwo=")</f>
        <v>#VALUE!</v>
      </c>
      <c r="L3" t="e">
        <f>AND('Application, maintenance'!M35,"AAAAAHa8dws=")</f>
        <v>#VALUE!</v>
      </c>
      <c r="M3" t="e">
        <f>AND('Application, maintenance'!N35,"AAAAAHa8dww=")</f>
        <v>#VALUE!</v>
      </c>
      <c r="N3">
        <f>IF('Application, maintenance'!36:36,"AAAAAHa8dw0=",0)</f>
        <v>0</v>
      </c>
      <c r="O3" t="e">
        <f>AND('Application, maintenance'!A36,"AAAAAHa8dw4=")</f>
        <v>#VALUE!</v>
      </c>
      <c r="P3" t="e">
        <f>AND('Application, maintenance'!B36,"AAAAAHa8dw8=")</f>
        <v>#VALUE!</v>
      </c>
      <c r="Q3" t="e">
        <f>AND('Application, maintenance'!C36,"AAAAAHa8dxA=")</f>
        <v>#VALUE!</v>
      </c>
      <c r="R3" t="e">
        <f>AND('Application, maintenance'!D36,"AAAAAHa8dxE=")</f>
        <v>#VALUE!</v>
      </c>
      <c r="S3" t="e">
        <f>AND('Application, maintenance'!E36,"AAAAAHa8dxI=")</f>
        <v>#VALUE!</v>
      </c>
      <c r="T3" t="e">
        <f>AND('Application, maintenance'!F36,"AAAAAHa8dxM=")</f>
        <v>#VALUE!</v>
      </c>
      <c r="U3" t="e">
        <f>AND('Application, maintenance'!G36,"AAAAAHa8dxQ=")</f>
        <v>#VALUE!</v>
      </c>
      <c r="V3" t="e">
        <f>AND('Application, maintenance'!H36,"AAAAAHa8dxU=")</f>
        <v>#VALUE!</v>
      </c>
      <c r="W3" t="e">
        <f>AND('Application, maintenance'!I36,"AAAAAHa8dxY=")</f>
        <v>#VALUE!</v>
      </c>
      <c r="X3" t="e">
        <f>AND('Application, maintenance'!J36,"AAAAAHa8dxc=")</f>
        <v>#VALUE!</v>
      </c>
      <c r="Y3" t="e">
        <f>AND('Application, maintenance'!K36,"AAAAAHa8dxg=")</f>
        <v>#VALUE!</v>
      </c>
      <c r="Z3" t="e">
        <f>AND('Application, maintenance'!L36,"AAAAAHa8dxk=")</f>
        <v>#VALUE!</v>
      </c>
      <c r="AA3" t="e">
        <f>AND('Application, maintenance'!M36,"AAAAAHa8dxo=")</f>
        <v>#VALUE!</v>
      </c>
      <c r="AB3" t="e">
        <f>AND('Application, maintenance'!N36,"AAAAAHa8dxs=")</f>
        <v>#VALUE!</v>
      </c>
      <c r="AC3">
        <f>IF('Application, maintenance'!37:37,"AAAAAHa8dxw=",0)</f>
        <v>0</v>
      </c>
      <c r="AD3" t="e">
        <f>AND('Application, maintenance'!A37,"AAAAAHa8dx0=")</f>
        <v>#VALUE!</v>
      </c>
      <c r="AE3" t="e">
        <f>AND('Application, maintenance'!B37,"AAAAAHa8dx4=")</f>
        <v>#VALUE!</v>
      </c>
      <c r="AF3" t="e">
        <f>AND('Application, maintenance'!C37,"AAAAAHa8dx8=")</f>
        <v>#VALUE!</v>
      </c>
      <c r="AG3" t="e">
        <f>AND('Application, maintenance'!D37,"AAAAAHa8dyA=")</f>
        <v>#VALUE!</v>
      </c>
      <c r="AH3" t="e">
        <f>AND('Application, maintenance'!E37,"AAAAAHa8dyE=")</f>
        <v>#VALUE!</v>
      </c>
      <c r="AI3" t="e">
        <f>AND('Application, maintenance'!F37,"AAAAAHa8dyI=")</f>
        <v>#VALUE!</v>
      </c>
      <c r="AJ3" t="e">
        <f>AND('Application, maintenance'!G37,"AAAAAHa8dyM=")</f>
        <v>#VALUE!</v>
      </c>
      <c r="AK3" t="e">
        <f>AND('Application, maintenance'!H37,"AAAAAHa8dyQ=")</f>
        <v>#VALUE!</v>
      </c>
      <c r="AL3" t="e">
        <f>AND('Application, maintenance'!I37,"AAAAAHa8dyU=")</f>
        <v>#VALUE!</v>
      </c>
      <c r="AM3" t="e">
        <f>AND('Application, maintenance'!J37,"AAAAAHa8dyY=")</f>
        <v>#VALUE!</v>
      </c>
      <c r="AN3" t="e">
        <f>AND('Application, maintenance'!K37,"AAAAAHa8dyc=")</f>
        <v>#VALUE!</v>
      </c>
      <c r="AO3" t="e">
        <f>AND('Application, maintenance'!L37,"AAAAAHa8dyg=")</f>
        <v>#VALUE!</v>
      </c>
      <c r="AP3" t="e">
        <f>AND('Application, maintenance'!M37,"AAAAAHa8dyk=")</f>
        <v>#VALUE!</v>
      </c>
      <c r="AQ3" t="e">
        <f>AND('Application, maintenance'!N37,"AAAAAHa8dyo=")</f>
        <v>#VALUE!</v>
      </c>
      <c r="AR3">
        <f>IF('Application, maintenance'!38:38,"AAAAAHa8dys=",0)</f>
        <v>0</v>
      </c>
      <c r="AS3" t="e">
        <f>AND('Application, maintenance'!A38,"AAAAAHa8dyw=")</f>
        <v>#VALUE!</v>
      </c>
      <c r="AT3" t="e">
        <f>AND('Application, maintenance'!B38,"AAAAAHa8dy0=")</f>
        <v>#VALUE!</v>
      </c>
      <c r="AU3" t="e">
        <f>AND('Application, maintenance'!C38,"AAAAAHa8dy4=")</f>
        <v>#VALUE!</v>
      </c>
      <c r="AV3" t="e">
        <f>AND('Application, maintenance'!D38,"AAAAAHa8dy8=")</f>
        <v>#VALUE!</v>
      </c>
      <c r="AW3" t="e">
        <f>AND('Application, maintenance'!E38,"AAAAAHa8dzA=")</f>
        <v>#VALUE!</v>
      </c>
      <c r="AX3" t="e">
        <f>AND('Application, maintenance'!F38,"AAAAAHa8dzE=")</f>
        <v>#VALUE!</v>
      </c>
      <c r="AY3" t="e">
        <f>AND('Application, maintenance'!G38,"AAAAAHa8dzI=")</f>
        <v>#VALUE!</v>
      </c>
      <c r="AZ3" t="e">
        <f>AND('Application, maintenance'!H38,"AAAAAHa8dzM=")</f>
        <v>#VALUE!</v>
      </c>
      <c r="BA3" t="e">
        <f>AND('Application, maintenance'!I38,"AAAAAHa8dzQ=")</f>
        <v>#VALUE!</v>
      </c>
      <c r="BB3" t="e">
        <f>AND('Application, maintenance'!J38,"AAAAAHa8dzU=")</f>
        <v>#VALUE!</v>
      </c>
      <c r="BC3" t="e">
        <f>AND('Application, maintenance'!K38,"AAAAAHa8dzY=")</f>
        <v>#VALUE!</v>
      </c>
      <c r="BD3" t="e">
        <f>AND('Application, maintenance'!L38,"AAAAAHa8dzc=")</f>
        <v>#VALUE!</v>
      </c>
      <c r="BE3" t="e">
        <f>AND('Application, maintenance'!M38,"AAAAAHa8dzg=")</f>
        <v>#VALUE!</v>
      </c>
      <c r="BF3" t="e">
        <f>AND('Application, maintenance'!N38,"AAAAAHa8dzk=")</f>
        <v>#VALUE!</v>
      </c>
      <c r="BG3">
        <f>IF('Application, maintenance'!39:39,"AAAAAHa8dzo=",0)</f>
        <v>0</v>
      </c>
      <c r="BH3" t="e">
        <f>AND('Application, maintenance'!A39,"AAAAAHa8dzs=")</f>
        <v>#VALUE!</v>
      </c>
      <c r="BI3" t="e">
        <f>AND('Application, maintenance'!B39,"AAAAAHa8dzw=")</f>
        <v>#VALUE!</v>
      </c>
      <c r="BJ3" t="e">
        <f>AND('Application, maintenance'!C39,"AAAAAHa8dz0=")</f>
        <v>#VALUE!</v>
      </c>
      <c r="BK3" t="e">
        <f>AND('Application, maintenance'!D39,"AAAAAHa8dz4=")</f>
        <v>#VALUE!</v>
      </c>
      <c r="BL3" t="e">
        <f>AND('Application, maintenance'!E39,"AAAAAHa8dz8=")</f>
        <v>#VALUE!</v>
      </c>
      <c r="BM3" t="e">
        <f>AND('Application, maintenance'!F39,"AAAAAHa8d0A=")</f>
        <v>#VALUE!</v>
      </c>
      <c r="BN3" t="e">
        <f>AND('Application, maintenance'!G39,"AAAAAHa8d0E=")</f>
        <v>#VALUE!</v>
      </c>
      <c r="BO3" t="e">
        <f>AND('Application, maintenance'!H39,"AAAAAHa8d0I=")</f>
        <v>#VALUE!</v>
      </c>
      <c r="BP3" t="e">
        <f>AND('Application, maintenance'!I39,"AAAAAHa8d0M=")</f>
        <v>#VALUE!</v>
      </c>
      <c r="BQ3" t="e">
        <f>AND('Application, maintenance'!J39,"AAAAAHa8d0Q=")</f>
        <v>#VALUE!</v>
      </c>
      <c r="BR3" t="e">
        <f>AND('Application, maintenance'!K39,"AAAAAHa8d0U=")</f>
        <v>#VALUE!</v>
      </c>
      <c r="BS3" t="e">
        <f>AND('Application, maintenance'!L39,"AAAAAHa8d0Y=")</f>
        <v>#VALUE!</v>
      </c>
      <c r="BT3" t="e">
        <f>AND('Application, maintenance'!M39,"AAAAAHa8d0c=")</f>
        <v>#VALUE!</v>
      </c>
      <c r="BU3" t="e">
        <f>AND('Application, maintenance'!N39,"AAAAAHa8d0g=")</f>
        <v>#VALUE!</v>
      </c>
      <c r="BV3">
        <f>IF('Application, maintenance'!40:40,"AAAAAHa8d0k=",0)</f>
        <v>0</v>
      </c>
      <c r="BW3" t="e">
        <f>AND('Application, maintenance'!A40,"AAAAAHa8d0o=")</f>
        <v>#VALUE!</v>
      </c>
      <c r="BX3" t="e">
        <f>AND('Application, maintenance'!B40,"AAAAAHa8d0s=")</f>
        <v>#VALUE!</v>
      </c>
      <c r="BY3" t="e">
        <f>AND('Application, maintenance'!C40,"AAAAAHa8d0w=")</f>
        <v>#VALUE!</v>
      </c>
      <c r="BZ3" t="e">
        <f>AND('Application, maintenance'!D40,"AAAAAHa8d00=")</f>
        <v>#VALUE!</v>
      </c>
      <c r="CA3" t="e">
        <f>AND('Application, maintenance'!E40,"AAAAAHa8d04=")</f>
        <v>#VALUE!</v>
      </c>
      <c r="CB3" t="e">
        <f>AND('Application, maintenance'!F40,"AAAAAHa8d08=")</f>
        <v>#VALUE!</v>
      </c>
      <c r="CC3" t="e">
        <f>AND('Application, maintenance'!G40,"AAAAAHa8d1A=")</f>
        <v>#VALUE!</v>
      </c>
      <c r="CD3" t="e">
        <f>AND('Application, maintenance'!H40,"AAAAAHa8d1E=")</f>
        <v>#VALUE!</v>
      </c>
      <c r="CE3" t="e">
        <f>AND('Application, maintenance'!I40,"AAAAAHa8d1I=")</f>
        <v>#VALUE!</v>
      </c>
      <c r="CF3" t="e">
        <f>AND('Application, maintenance'!J40,"AAAAAHa8d1M=")</f>
        <v>#VALUE!</v>
      </c>
      <c r="CG3" t="e">
        <f>AND('Application, maintenance'!K40,"AAAAAHa8d1Q=")</f>
        <v>#VALUE!</v>
      </c>
      <c r="CH3" t="e">
        <f>AND('Application, maintenance'!L40,"AAAAAHa8d1U=")</f>
        <v>#VALUE!</v>
      </c>
      <c r="CI3" t="e">
        <f>AND('Application, maintenance'!M40,"AAAAAHa8d1Y=")</f>
        <v>#VALUE!</v>
      </c>
      <c r="CJ3" t="e">
        <f>AND('Application, maintenance'!N40,"AAAAAHa8d1c=")</f>
        <v>#VALUE!</v>
      </c>
      <c r="CK3">
        <f>IF('Application, maintenance'!41:41,"AAAAAHa8d1g=",0)</f>
        <v>0</v>
      </c>
      <c r="CL3" t="e">
        <f>AND('Application, maintenance'!A41,"AAAAAHa8d1k=")</f>
        <v>#VALUE!</v>
      </c>
      <c r="CM3" t="e">
        <f>AND('Application, maintenance'!B41,"AAAAAHa8d1o=")</f>
        <v>#VALUE!</v>
      </c>
      <c r="CN3" t="e">
        <f>AND('Application, maintenance'!C41,"AAAAAHa8d1s=")</f>
        <v>#VALUE!</v>
      </c>
      <c r="CO3" t="e">
        <f>AND('Application, maintenance'!D41,"AAAAAHa8d1w=")</f>
        <v>#VALUE!</v>
      </c>
      <c r="CP3" t="e">
        <f>AND('Application, maintenance'!E41,"AAAAAHa8d10=")</f>
        <v>#VALUE!</v>
      </c>
      <c r="CQ3" t="e">
        <f>AND('Application, maintenance'!F41,"AAAAAHa8d14=")</f>
        <v>#VALUE!</v>
      </c>
      <c r="CR3" t="e">
        <f>AND('Application, maintenance'!G41,"AAAAAHa8d18=")</f>
        <v>#VALUE!</v>
      </c>
      <c r="CS3" t="e">
        <f>AND('Application, maintenance'!H41,"AAAAAHa8d2A=")</f>
        <v>#VALUE!</v>
      </c>
      <c r="CT3" t="e">
        <f>AND('Application, maintenance'!I41,"AAAAAHa8d2E=")</f>
        <v>#VALUE!</v>
      </c>
      <c r="CU3" t="e">
        <f>AND('Application, maintenance'!J41,"AAAAAHa8d2I=")</f>
        <v>#VALUE!</v>
      </c>
      <c r="CV3" t="e">
        <f>AND('Application, maintenance'!K41,"AAAAAHa8d2M=")</f>
        <v>#VALUE!</v>
      </c>
      <c r="CW3" t="e">
        <f>AND('Application, maintenance'!L41,"AAAAAHa8d2Q=")</f>
        <v>#VALUE!</v>
      </c>
      <c r="CX3" t="e">
        <f>AND('Application, maintenance'!M41,"AAAAAHa8d2U=")</f>
        <v>#VALUE!</v>
      </c>
      <c r="CY3" t="e">
        <f>AND('Application, maintenance'!N41,"AAAAAHa8d2Y=")</f>
        <v>#VALUE!</v>
      </c>
      <c r="CZ3">
        <f>IF('Application, maintenance'!42:42,"AAAAAHa8d2c=",0)</f>
        <v>0</v>
      </c>
      <c r="DA3" t="e">
        <f>AND('Application, maintenance'!A42,"AAAAAHa8d2g=")</f>
        <v>#VALUE!</v>
      </c>
      <c r="DB3" t="e">
        <f>AND('Application, maintenance'!B42,"AAAAAHa8d2k=")</f>
        <v>#VALUE!</v>
      </c>
      <c r="DC3" t="e">
        <f>AND('Application, maintenance'!C42,"AAAAAHa8d2o=")</f>
        <v>#VALUE!</v>
      </c>
      <c r="DD3" t="e">
        <f>AND('Application, maintenance'!D42,"AAAAAHa8d2s=")</f>
        <v>#VALUE!</v>
      </c>
      <c r="DE3" t="e">
        <f>AND('Application, maintenance'!E42,"AAAAAHa8d2w=")</f>
        <v>#VALUE!</v>
      </c>
      <c r="DF3" t="e">
        <f>AND('Application, maintenance'!F42,"AAAAAHa8d20=")</f>
        <v>#VALUE!</v>
      </c>
      <c r="DG3" t="e">
        <f>AND('Application, maintenance'!G42,"AAAAAHa8d24=")</f>
        <v>#VALUE!</v>
      </c>
      <c r="DH3" t="e">
        <f>AND('Application, maintenance'!H42,"AAAAAHa8d28=")</f>
        <v>#VALUE!</v>
      </c>
      <c r="DI3" t="e">
        <f>AND('Application, maintenance'!I42,"AAAAAHa8d3A=")</f>
        <v>#VALUE!</v>
      </c>
      <c r="DJ3" t="e">
        <f>AND('Application, maintenance'!J42,"AAAAAHa8d3E=")</f>
        <v>#VALUE!</v>
      </c>
      <c r="DK3" t="e">
        <f>AND('Application, maintenance'!K42,"AAAAAHa8d3I=")</f>
        <v>#VALUE!</v>
      </c>
      <c r="DL3" t="e">
        <f>AND('Application, maintenance'!L42,"AAAAAHa8d3M=")</f>
        <v>#VALUE!</v>
      </c>
      <c r="DM3" t="e">
        <f>AND('Application, maintenance'!M42,"AAAAAHa8d3Q=")</f>
        <v>#VALUE!</v>
      </c>
      <c r="DN3" t="e">
        <f>AND('Application, maintenance'!N42,"AAAAAHa8d3U=")</f>
        <v>#VALUE!</v>
      </c>
      <c r="DO3">
        <f>IF('Application, maintenance'!43:43,"AAAAAHa8d3Y=",0)</f>
        <v>0</v>
      </c>
      <c r="DP3" t="e">
        <f>AND('Application, maintenance'!A43,"AAAAAHa8d3c=")</f>
        <v>#VALUE!</v>
      </c>
      <c r="DQ3" t="e">
        <f>AND('Application, maintenance'!B43,"AAAAAHa8d3g=")</f>
        <v>#VALUE!</v>
      </c>
      <c r="DR3" t="e">
        <f>AND('Application, maintenance'!C43,"AAAAAHa8d3k=")</f>
        <v>#VALUE!</v>
      </c>
      <c r="DS3" t="e">
        <f>AND('Application, maintenance'!D43,"AAAAAHa8d3o=")</f>
        <v>#VALUE!</v>
      </c>
      <c r="DT3" t="e">
        <f>AND('Application, maintenance'!E43,"AAAAAHa8d3s=")</f>
        <v>#VALUE!</v>
      </c>
      <c r="DU3" t="e">
        <f>AND('Application, maintenance'!F43,"AAAAAHa8d3w=")</f>
        <v>#VALUE!</v>
      </c>
      <c r="DV3" t="e">
        <f>AND('Application, maintenance'!G43,"AAAAAHa8d30=")</f>
        <v>#VALUE!</v>
      </c>
      <c r="DW3" t="e">
        <f>AND('Application, maintenance'!H43,"AAAAAHa8d34=")</f>
        <v>#VALUE!</v>
      </c>
      <c r="DX3" t="e">
        <f>AND('Application, maintenance'!I43,"AAAAAHa8d38=")</f>
        <v>#VALUE!</v>
      </c>
      <c r="DY3" t="e">
        <f>AND('Application, maintenance'!J43,"AAAAAHa8d4A=")</f>
        <v>#VALUE!</v>
      </c>
      <c r="DZ3" t="e">
        <f>AND('Application, maintenance'!K43,"AAAAAHa8d4E=")</f>
        <v>#VALUE!</v>
      </c>
      <c r="EA3" t="e">
        <f>AND('Application, maintenance'!L43,"AAAAAHa8d4I=")</f>
        <v>#VALUE!</v>
      </c>
      <c r="EB3" t="e">
        <f>AND('Application, maintenance'!M43,"AAAAAHa8d4M=")</f>
        <v>#VALUE!</v>
      </c>
      <c r="EC3" t="e">
        <f>AND('Application, maintenance'!N43,"AAAAAHa8d4Q=")</f>
        <v>#VALUE!</v>
      </c>
      <c r="ED3">
        <f>IF('Application, maintenance'!44:44,"AAAAAHa8d4U=",0)</f>
        <v>0</v>
      </c>
      <c r="EE3" t="e">
        <f>AND('Application, maintenance'!A44,"AAAAAHa8d4Y=")</f>
        <v>#VALUE!</v>
      </c>
      <c r="EF3" t="e">
        <f>AND('Application, maintenance'!B44,"AAAAAHa8d4c=")</f>
        <v>#VALUE!</v>
      </c>
      <c r="EG3" t="e">
        <f>AND('Application, maintenance'!C44,"AAAAAHa8d4g=")</f>
        <v>#VALUE!</v>
      </c>
      <c r="EH3" t="e">
        <f>AND('Application, maintenance'!D44,"AAAAAHa8d4k=")</f>
        <v>#VALUE!</v>
      </c>
      <c r="EI3" t="e">
        <f>AND('Application, maintenance'!E44,"AAAAAHa8d4o=")</f>
        <v>#VALUE!</v>
      </c>
      <c r="EJ3" t="e">
        <f>AND('Application, maintenance'!F44,"AAAAAHa8d4s=")</f>
        <v>#VALUE!</v>
      </c>
      <c r="EK3" t="e">
        <f>AND('Application, maintenance'!G44,"AAAAAHa8d4w=")</f>
        <v>#VALUE!</v>
      </c>
      <c r="EL3" t="e">
        <f>AND('Application, maintenance'!H44,"AAAAAHa8d40=")</f>
        <v>#VALUE!</v>
      </c>
      <c r="EM3" t="e">
        <f>AND('Application, maintenance'!I44,"AAAAAHa8d44=")</f>
        <v>#VALUE!</v>
      </c>
      <c r="EN3" t="e">
        <f>AND('Application, maintenance'!J44,"AAAAAHa8d48=")</f>
        <v>#VALUE!</v>
      </c>
      <c r="EO3" t="e">
        <f>AND('Application, maintenance'!K44,"AAAAAHa8d5A=")</f>
        <v>#VALUE!</v>
      </c>
      <c r="EP3" t="e">
        <f>AND('Application, maintenance'!L44,"AAAAAHa8d5E=")</f>
        <v>#VALUE!</v>
      </c>
      <c r="EQ3" t="e">
        <f>AND('Application, maintenance'!M44,"AAAAAHa8d5I=")</f>
        <v>#VALUE!</v>
      </c>
      <c r="ER3" t="e">
        <f>AND('Application, maintenance'!N44,"AAAAAHa8d5M=")</f>
        <v>#VALUE!</v>
      </c>
      <c r="ES3">
        <f>IF('Application, maintenance'!45:45,"AAAAAHa8d5Q=",0)</f>
        <v>0</v>
      </c>
      <c r="ET3" t="e">
        <f>AND('Application, maintenance'!A45,"AAAAAHa8d5U=")</f>
        <v>#VALUE!</v>
      </c>
      <c r="EU3" t="e">
        <f>AND('Application, maintenance'!B45,"AAAAAHa8d5Y=")</f>
        <v>#VALUE!</v>
      </c>
      <c r="EV3" t="e">
        <f>AND('Application, maintenance'!C45,"AAAAAHa8d5c=")</f>
        <v>#VALUE!</v>
      </c>
      <c r="EW3" t="e">
        <f>AND('Application, maintenance'!D45,"AAAAAHa8d5g=")</f>
        <v>#VALUE!</v>
      </c>
      <c r="EX3" t="e">
        <f>AND('Application, maintenance'!E45,"AAAAAHa8d5k=")</f>
        <v>#VALUE!</v>
      </c>
      <c r="EY3" t="e">
        <f>AND('Application, maintenance'!F45,"AAAAAHa8d5o=")</f>
        <v>#VALUE!</v>
      </c>
      <c r="EZ3" t="e">
        <f>AND('Application, maintenance'!G45,"AAAAAHa8d5s=")</f>
        <v>#VALUE!</v>
      </c>
      <c r="FA3" t="e">
        <f>AND('Application, maintenance'!H45,"AAAAAHa8d5w=")</f>
        <v>#VALUE!</v>
      </c>
      <c r="FB3" t="e">
        <f>AND('Application, maintenance'!I45,"AAAAAHa8d50=")</f>
        <v>#VALUE!</v>
      </c>
      <c r="FC3" t="e">
        <f>AND('Application, maintenance'!J45,"AAAAAHa8d54=")</f>
        <v>#VALUE!</v>
      </c>
      <c r="FD3" t="e">
        <f>AND('Application, maintenance'!K45,"AAAAAHa8d58=")</f>
        <v>#VALUE!</v>
      </c>
      <c r="FE3" t="e">
        <f>AND('Application, maintenance'!L45,"AAAAAHa8d6A=")</f>
        <v>#VALUE!</v>
      </c>
      <c r="FF3" t="e">
        <f>AND('Application, maintenance'!M45,"AAAAAHa8d6E=")</f>
        <v>#VALUE!</v>
      </c>
      <c r="FG3" t="e">
        <f>AND('Application, maintenance'!N45,"AAAAAHa8d6I=")</f>
        <v>#VALUE!</v>
      </c>
      <c r="FH3">
        <f>IF('Application, maintenance'!46:46,"AAAAAHa8d6M=",0)</f>
        <v>0</v>
      </c>
      <c r="FI3" t="e">
        <f>AND('Application, maintenance'!A46,"AAAAAHa8d6Q=")</f>
        <v>#VALUE!</v>
      </c>
      <c r="FJ3" t="e">
        <f>AND('Application, maintenance'!B46,"AAAAAHa8d6U=")</f>
        <v>#VALUE!</v>
      </c>
      <c r="FK3" t="e">
        <f>AND('Application, maintenance'!C46,"AAAAAHa8d6Y=")</f>
        <v>#VALUE!</v>
      </c>
      <c r="FL3" t="e">
        <f>AND('Application, maintenance'!D46,"AAAAAHa8d6c=")</f>
        <v>#VALUE!</v>
      </c>
      <c r="FM3" t="e">
        <f>AND('Application, maintenance'!E46,"AAAAAHa8d6g=")</f>
        <v>#VALUE!</v>
      </c>
      <c r="FN3" t="e">
        <f>AND('Application, maintenance'!F46,"AAAAAHa8d6k=")</f>
        <v>#VALUE!</v>
      </c>
      <c r="FO3" t="e">
        <f>AND('Application, maintenance'!G46,"AAAAAHa8d6o=")</f>
        <v>#VALUE!</v>
      </c>
      <c r="FP3" t="e">
        <f>AND('Application, maintenance'!H46,"AAAAAHa8d6s=")</f>
        <v>#VALUE!</v>
      </c>
      <c r="FQ3" t="e">
        <f>AND('Application, maintenance'!I46,"AAAAAHa8d6w=")</f>
        <v>#VALUE!</v>
      </c>
      <c r="FR3" t="e">
        <f>AND('Application, maintenance'!J46,"AAAAAHa8d60=")</f>
        <v>#VALUE!</v>
      </c>
      <c r="FS3" t="e">
        <f>AND('Application, maintenance'!K46,"AAAAAHa8d64=")</f>
        <v>#VALUE!</v>
      </c>
      <c r="FT3" t="e">
        <f>AND('Application, maintenance'!L46,"AAAAAHa8d68=")</f>
        <v>#VALUE!</v>
      </c>
      <c r="FU3" t="e">
        <f>AND('Application, maintenance'!M46,"AAAAAHa8d7A=")</f>
        <v>#VALUE!</v>
      </c>
      <c r="FV3" t="e">
        <f>AND('Application, maintenance'!N46,"AAAAAHa8d7E=")</f>
        <v>#VALUE!</v>
      </c>
      <c r="FW3">
        <f>IF('Application, maintenance'!47:47,"AAAAAHa8d7I=",0)</f>
        <v>0</v>
      </c>
      <c r="FX3" t="e">
        <f>AND('Application, maintenance'!A47,"AAAAAHa8d7M=")</f>
        <v>#VALUE!</v>
      </c>
      <c r="FY3" t="e">
        <f>AND('Application, maintenance'!B47,"AAAAAHa8d7Q=")</f>
        <v>#VALUE!</v>
      </c>
      <c r="FZ3" t="e">
        <f>AND('Application, maintenance'!C47,"AAAAAHa8d7U=")</f>
        <v>#VALUE!</v>
      </c>
      <c r="GA3" t="e">
        <f>AND('Application, maintenance'!D47,"AAAAAHa8d7Y=")</f>
        <v>#VALUE!</v>
      </c>
      <c r="GB3" t="e">
        <f>AND('Application, maintenance'!E47,"AAAAAHa8d7c=")</f>
        <v>#VALUE!</v>
      </c>
      <c r="GC3" t="e">
        <f>AND('Application, maintenance'!F47,"AAAAAHa8d7g=")</f>
        <v>#VALUE!</v>
      </c>
      <c r="GD3" t="e">
        <f>AND('Application, maintenance'!G47,"AAAAAHa8d7k=")</f>
        <v>#VALUE!</v>
      </c>
      <c r="GE3" t="e">
        <f>AND('Application, maintenance'!H47,"AAAAAHa8d7o=")</f>
        <v>#VALUE!</v>
      </c>
      <c r="GF3" t="e">
        <f>AND('Application, maintenance'!I47,"AAAAAHa8d7s=")</f>
        <v>#VALUE!</v>
      </c>
      <c r="GG3" t="e">
        <f>AND('Application, maintenance'!J47,"AAAAAHa8d7w=")</f>
        <v>#VALUE!</v>
      </c>
      <c r="GH3" t="e">
        <f>AND('Application, maintenance'!K47,"AAAAAHa8d70=")</f>
        <v>#VALUE!</v>
      </c>
      <c r="GI3" t="e">
        <f>AND('Application, maintenance'!L47,"AAAAAHa8d74=")</f>
        <v>#VALUE!</v>
      </c>
      <c r="GJ3" t="e">
        <f>AND('Application, maintenance'!M47,"AAAAAHa8d78=")</f>
        <v>#VALUE!</v>
      </c>
      <c r="GK3" t="e">
        <f>AND('Application, maintenance'!N47,"AAAAAHa8d8A=")</f>
        <v>#VALUE!</v>
      </c>
      <c r="GL3">
        <f>IF('Application, maintenance'!48:48,"AAAAAHa8d8E=",0)</f>
        <v>0</v>
      </c>
      <c r="GM3" t="e">
        <f>AND('Application, maintenance'!A48,"AAAAAHa8d8I=")</f>
        <v>#VALUE!</v>
      </c>
      <c r="GN3" t="e">
        <f>AND('Application, maintenance'!B48,"AAAAAHa8d8M=")</f>
        <v>#VALUE!</v>
      </c>
      <c r="GO3" t="e">
        <f>AND('Application, maintenance'!C48,"AAAAAHa8d8Q=")</f>
        <v>#VALUE!</v>
      </c>
      <c r="GP3" t="e">
        <f>AND('Application, maintenance'!D48,"AAAAAHa8d8U=")</f>
        <v>#VALUE!</v>
      </c>
      <c r="GQ3" t="e">
        <f>AND('Application, maintenance'!E48,"AAAAAHa8d8Y=")</f>
        <v>#VALUE!</v>
      </c>
      <c r="GR3" t="e">
        <f>AND('Application, maintenance'!F48,"AAAAAHa8d8c=")</f>
        <v>#VALUE!</v>
      </c>
      <c r="GS3" t="e">
        <f>AND('Application, maintenance'!G48,"AAAAAHa8d8g=")</f>
        <v>#VALUE!</v>
      </c>
      <c r="GT3" t="e">
        <f>AND('Application, maintenance'!H48,"AAAAAHa8d8k=")</f>
        <v>#VALUE!</v>
      </c>
      <c r="GU3" t="e">
        <f>AND('Application, maintenance'!I48,"AAAAAHa8d8o=")</f>
        <v>#VALUE!</v>
      </c>
      <c r="GV3" t="e">
        <f>AND('Application, maintenance'!J48,"AAAAAHa8d8s=")</f>
        <v>#VALUE!</v>
      </c>
      <c r="GW3" t="e">
        <f>AND('Application, maintenance'!K48,"AAAAAHa8d8w=")</f>
        <v>#VALUE!</v>
      </c>
      <c r="GX3" t="e">
        <f>AND('Application, maintenance'!L48,"AAAAAHa8d80=")</f>
        <v>#VALUE!</v>
      </c>
      <c r="GY3" t="e">
        <f>AND('Application, maintenance'!M48,"AAAAAHa8d84=")</f>
        <v>#VALUE!</v>
      </c>
      <c r="GZ3" t="e">
        <f>AND('Application, maintenance'!N48,"AAAAAHa8d88=")</f>
        <v>#VALUE!</v>
      </c>
      <c r="HA3">
        <f>IF('Application, maintenance'!49:49,"AAAAAHa8d9A=",0)</f>
        <v>0</v>
      </c>
      <c r="HB3" t="e">
        <f>AND('Application, maintenance'!A49,"AAAAAHa8d9E=")</f>
        <v>#VALUE!</v>
      </c>
      <c r="HC3" t="e">
        <f>AND('Application, maintenance'!B49,"AAAAAHa8d9I=")</f>
        <v>#VALUE!</v>
      </c>
      <c r="HD3" t="e">
        <f>AND('Application, maintenance'!C49,"AAAAAHa8d9M=")</f>
        <v>#VALUE!</v>
      </c>
      <c r="HE3" t="e">
        <f>AND('Application, maintenance'!D49,"AAAAAHa8d9Q=")</f>
        <v>#VALUE!</v>
      </c>
      <c r="HF3" t="e">
        <f>AND('Application, maintenance'!E49,"AAAAAHa8d9U=")</f>
        <v>#VALUE!</v>
      </c>
      <c r="HG3" t="e">
        <f>AND('Application, maintenance'!F49,"AAAAAHa8d9Y=")</f>
        <v>#VALUE!</v>
      </c>
      <c r="HH3" t="e">
        <f>AND('Application, maintenance'!G49,"AAAAAHa8d9c=")</f>
        <v>#VALUE!</v>
      </c>
      <c r="HI3" t="e">
        <f>AND('Application, maintenance'!H49,"AAAAAHa8d9g=")</f>
        <v>#VALUE!</v>
      </c>
      <c r="HJ3" t="e">
        <f>AND('Application, maintenance'!I49,"AAAAAHa8d9k=")</f>
        <v>#VALUE!</v>
      </c>
      <c r="HK3" t="e">
        <f>AND('Application, maintenance'!J49,"AAAAAHa8d9o=")</f>
        <v>#VALUE!</v>
      </c>
      <c r="HL3" t="e">
        <f>AND('Application, maintenance'!K49,"AAAAAHa8d9s=")</f>
        <v>#VALUE!</v>
      </c>
      <c r="HM3" t="e">
        <f>AND('Application, maintenance'!L49,"AAAAAHa8d9w=")</f>
        <v>#VALUE!</v>
      </c>
      <c r="HN3" t="e">
        <f>AND('Application, maintenance'!M49,"AAAAAHa8d90=")</f>
        <v>#VALUE!</v>
      </c>
      <c r="HO3" t="e">
        <f>AND('Application, maintenance'!N49,"AAAAAHa8d94=")</f>
        <v>#VALUE!</v>
      </c>
      <c r="HP3">
        <f>IF('Application, maintenance'!50:50,"AAAAAHa8d98=",0)</f>
        <v>0</v>
      </c>
      <c r="HQ3" t="e">
        <f>AND('Application, maintenance'!A50,"AAAAAHa8d+A=")</f>
        <v>#VALUE!</v>
      </c>
      <c r="HR3" t="e">
        <f>AND('Application, maintenance'!B50,"AAAAAHa8d+E=")</f>
        <v>#VALUE!</v>
      </c>
      <c r="HS3" t="e">
        <f>AND('Application, maintenance'!C50,"AAAAAHa8d+I=")</f>
        <v>#VALUE!</v>
      </c>
      <c r="HT3" t="e">
        <f>AND('Application, maintenance'!D50,"AAAAAHa8d+M=")</f>
        <v>#VALUE!</v>
      </c>
      <c r="HU3" t="e">
        <f>AND('Application, maintenance'!E50,"AAAAAHa8d+Q=")</f>
        <v>#VALUE!</v>
      </c>
      <c r="HV3" t="e">
        <f>AND('Application, maintenance'!F50,"AAAAAHa8d+U=")</f>
        <v>#VALUE!</v>
      </c>
      <c r="HW3" t="e">
        <f>AND('Application, maintenance'!G50,"AAAAAHa8d+Y=")</f>
        <v>#VALUE!</v>
      </c>
      <c r="HX3" t="e">
        <f>AND('Application, maintenance'!H50,"AAAAAHa8d+c=")</f>
        <v>#VALUE!</v>
      </c>
      <c r="HY3" t="e">
        <f>AND('Application, maintenance'!I50,"AAAAAHa8d+g=")</f>
        <v>#VALUE!</v>
      </c>
      <c r="HZ3" t="e">
        <f>AND('Application, maintenance'!J50,"AAAAAHa8d+k=")</f>
        <v>#VALUE!</v>
      </c>
      <c r="IA3" t="e">
        <f>AND('Application, maintenance'!K50,"AAAAAHa8d+o=")</f>
        <v>#VALUE!</v>
      </c>
      <c r="IB3" t="e">
        <f>AND('Application, maintenance'!L50,"AAAAAHa8d+s=")</f>
        <v>#VALUE!</v>
      </c>
      <c r="IC3" t="e">
        <f>AND('Application, maintenance'!M50,"AAAAAHa8d+w=")</f>
        <v>#VALUE!</v>
      </c>
      <c r="ID3" t="e">
        <f>AND('Application, maintenance'!N50,"AAAAAHa8d+0=")</f>
        <v>#VALUE!</v>
      </c>
      <c r="IE3">
        <f>IF('Application, maintenance'!51:51,"AAAAAHa8d+4=",0)</f>
        <v>0</v>
      </c>
      <c r="IF3" t="e">
        <f>AND('Application, maintenance'!A51,"AAAAAHa8d+8=")</f>
        <v>#VALUE!</v>
      </c>
      <c r="IG3" t="e">
        <f>AND('Application, maintenance'!B51,"AAAAAHa8d/A=")</f>
        <v>#VALUE!</v>
      </c>
      <c r="IH3" t="e">
        <f>AND('Application, maintenance'!C51,"AAAAAHa8d/E=")</f>
        <v>#VALUE!</v>
      </c>
      <c r="II3" t="e">
        <f>AND('Application, maintenance'!D51,"AAAAAHa8d/I=")</f>
        <v>#VALUE!</v>
      </c>
      <c r="IJ3" t="e">
        <f>AND('Application, maintenance'!E51,"AAAAAHa8d/M=")</f>
        <v>#VALUE!</v>
      </c>
      <c r="IK3" t="e">
        <f>AND('Application, maintenance'!F51,"AAAAAHa8d/Q=")</f>
        <v>#VALUE!</v>
      </c>
      <c r="IL3" t="e">
        <f>AND('Application, maintenance'!G51,"AAAAAHa8d/U=")</f>
        <v>#VALUE!</v>
      </c>
      <c r="IM3" t="e">
        <f>AND('Application, maintenance'!H51,"AAAAAHa8d/Y=")</f>
        <v>#VALUE!</v>
      </c>
      <c r="IN3" t="e">
        <f>AND('Application, maintenance'!I51,"AAAAAHa8d/c=")</f>
        <v>#VALUE!</v>
      </c>
      <c r="IO3" t="e">
        <f>AND('Application, maintenance'!J51,"AAAAAHa8d/g=")</f>
        <v>#VALUE!</v>
      </c>
      <c r="IP3" t="e">
        <f>AND('Application, maintenance'!K51,"AAAAAHa8d/k=")</f>
        <v>#VALUE!</v>
      </c>
      <c r="IQ3" t="e">
        <f>AND('Application, maintenance'!L51,"AAAAAHa8d/o=")</f>
        <v>#VALUE!</v>
      </c>
      <c r="IR3" t="e">
        <f>AND('Application, maintenance'!M51,"AAAAAHa8d/s=")</f>
        <v>#VALUE!</v>
      </c>
      <c r="IS3" t="e">
        <f>AND('Application, maintenance'!N51,"AAAAAHa8d/w=")</f>
        <v>#VALUE!</v>
      </c>
      <c r="IT3">
        <f>IF('Application, maintenance'!52:52,"AAAAAHa8d/0=",0)</f>
        <v>0</v>
      </c>
      <c r="IU3" t="e">
        <f>AND('Application, maintenance'!A52,"AAAAAHa8d/4=")</f>
        <v>#VALUE!</v>
      </c>
      <c r="IV3" t="e">
        <f>AND('Application, maintenance'!B52,"AAAAAHa8d/8=")</f>
        <v>#VALUE!</v>
      </c>
    </row>
    <row r="4" spans="1:256" ht="12.75">
      <c r="A4" t="e">
        <f>AND('Application, maintenance'!C52,"AAAAAFr/8gA=")</f>
        <v>#VALUE!</v>
      </c>
      <c r="B4" t="e">
        <f>AND('Application, maintenance'!D52,"AAAAAFr/8gE=")</f>
        <v>#VALUE!</v>
      </c>
      <c r="C4" t="e">
        <f>AND('Application, maintenance'!E52,"AAAAAFr/8gI=")</f>
        <v>#VALUE!</v>
      </c>
      <c r="D4" t="e">
        <f>AND('Application, maintenance'!F52,"AAAAAFr/8gM=")</f>
        <v>#VALUE!</v>
      </c>
      <c r="E4" t="e">
        <f>AND('Application, maintenance'!G52,"AAAAAFr/8gQ=")</f>
        <v>#VALUE!</v>
      </c>
      <c r="F4" t="e">
        <f>AND('Application, maintenance'!H52,"AAAAAFr/8gU=")</f>
        <v>#VALUE!</v>
      </c>
      <c r="G4" t="e">
        <f>AND('Application, maintenance'!I52,"AAAAAFr/8gY=")</f>
        <v>#VALUE!</v>
      </c>
      <c r="H4" t="e">
        <f>AND('Application, maintenance'!J52,"AAAAAFr/8gc=")</f>
        <v>#VALUE!</v>
      </c>
      <c r="I4" t="e">
        <f>AND('Application, maintenance'!K52,"AAAAAFr/8gg=")</f>
        <v>#VALUE!</v>
      </c>
      <c r="J4" t="e">
        <f>AND('Application, maintenance'!L52,"AAAAAFr/8gk=")</f>
        <v>#VALUE!</v>
      </c>
      <c r="K4" t="e">
        <f>AND('Application, maintenance'!M52,"AAAAAFr/8go=")</f>
        <v>#VALUE!</v>
      </c>
      <c r="L4" t="e">
        <f>AND('Application, maintenance'!N52,"AAAAAFr/8gs=")</f>
        <v>#VALUE!</v>
      </c>
      <c r="M4">
        <f>IF('Application, maintenance'!53:53,"AAAAAFr/8gw=",0)</f>
        <v>0</v>
      </c>
      <c r="N4" t="e">
        <f>AND('Application, maintenance'!A53,"AAAAAFr/8g0=")</f>
        <v>#VALUE!</v>
      </c>
      <c r="O4" t="e">
        <f>AND('Application, maintenance'!B53,"AAAAAFr/8g4=")</f>
        <v>#VALUE!</v>
      </c>
      <c r="P4" t="e">
        <f>AND('Application, maintenance'!C53,"AAAAAFr/8g8=")</f>
        <v>#VALUE!</v>
      </c>
      <c r="Q4" t="e">
        <f>AND('Application, maintenance'!D53,"AAAAAFr/8hA=")</f>
        <v>#VALUE!</v>
      </c>
      <c r="R4" t="e">
        <f>AND('Application, maintenance'!E53,"AAAAAFr/8hE=")</f>
        <v>#VALUE!</v>
      </c>
      <c r="S4" t="e">
        <f>AND('Application, maintenance'!F53,"AAAAAFr/8hI=")</f>
        <v>#VALUE!</v>
      </c>
      <c r="T4" t="e">
        <f>AND('Application, maintenance'!G53,"AAAAAFr/8hM=")</f>
        <v>#VALUE!</v>
      </c>
      <c r="U4" t="e">
        <f>AND('Application, maintenance'!H53,"AAAAAFr/8hQ=")</f>
        <v>#VALUE!</v>
      </c>
      <c r="V4" t="e">
        <f>AND('Application, maintenance'!I53,"AAAAAFr/8hU=")</f>
        <v>#VALUE!</v>
      </c>
      <c r="W4" t="e">
        <f>AND('Application, maintenance'!J53,"AAAAAFr/8hY=")</f>
        <v>#VALUE!</v>
      </c>
      <c r="X4" t="e">
        <f>AND('Application, maintenance'!K53,"AAAAAFr/8hc=")</f>
        <v>#VALUE!</v>
      </c>
      <c r="Y4" t="e">
        <f>AND('Application, maintenance'!L53,"AAAAAFr/8hg=")</f>
        <v>#VALUE!</v>
      </c>
      <c r="Z4" t="e">
        <f>AND('Application, maintenance'!M53,"AAAAAFr/8hk=")</f>
        <v>#VALUE!</v>
      </c>
      <c r="AA4" t="e">
        <f>AND('Application, maintenance'!N53,"AAAAAFr/8ho=")</f>
        <v>#VALUE!</v>
      </c>
      <c r="AB4">
        <f>IF('Application, maintenance'!54:54,"AAAAAFr/8hs=",0)</f>
        <v>0</v>
      </c>
      <c r="AC4" t="e">
        <f>AND('Application, maintenance'!A54,"AAAAAFr/8hw=")</f>
        <v>#VALUE!</v>
      </c>
      <c r="AD4" t="e">
        <f>AND('Application, maintenance'!B54,"AAAAAFr/8h0=")</f>
        <v>#VALUE!</v>
      </c>
      <c r="AE4" t="e">
        <f>AND('Application, maintenance'!C54,"AAAAAFr/8h4=")</f>
        <v>#VALUE!</v>
      </c>
      <c r="AF4" t="e">
        <f>AND('Application, maintenance'!D54,"AAAAAFr/8h8=")</f>
        <v>#VALUE!</v>
      </c>
      <c r="AG4" t="e">
        <f>AND('Application, maintenance'!E54,"AAAAAFr/8iA=")</f>
        <v>#VALUE!</v>
      </c>
      <c r="AH4" t="e">
        <f>AND('Application, maintenance'!F54,"AAAAAFr/8iE=")</f>
        <v>#VALUE!</v>
      </c>
      <c r="AI4" t="e">
        <f>AND('Application, maintenance'!G54,"AAAAAFr/8iI=")</f>
        <v>#VALUE!</v>
      </c>
      <c r="AJ4" t="e">
        <f>AND('Application, maintenance'!H54,"AAAAAFr/8iM=")</f>
        <v>#VALUE!</v>
      </c>
      <c r="AK4" t="e">
        <f>AND('Application, maintenance'!I54,"AAAAAFr/8iQ=")</f>
        <v>#VALUE!</v>
      </c>
      <c r="AL4" t="e">
        <f>AND('Application, maintenance'!J54,"AAAAAFr/8iU=")</f>
        <v>#VALUE!</v>
      </c>
      <c r="AM4" t="e">
        <f>AND('Application, maintenance'!K54,"AAAAAFr/8iY=")</f>
        <v>#VALUE!</v>
      </c>
      <c r="AN4" t="e">
        <f>AND('Application, maintenance'!L54,"AAAAAFr/8ic=")</f>
        <v>#VALUE!</v>
      </c>
      <c r="AO4" t="e">
        <f>AND('Application, maintenance'!M54,"AAAAAFr/8ig=")</f>
        <v>#VALUE!</v>
      </c>
      <c r="AP4" t="e">
        <f>AND('Application, maintenance'!N54,"AAAAAFr/8ik=")</f>
        <v>#VALUE!</v>
      </c>
      <c r="AQ4">
        <f>IF('Application, maintenance'!55:55,"AAAAAFr/8io=",0)</f>
        <v>0</v>
      </c>
      <c r="AR4" t="e">
        <f>AND('Application, maintenance'!A55,"AAAAAFr/8is=")</f>
        <v>#VALUE!</v>
      </c>
      <c r="AS4" t="e">
        <f>AND('Application, maintenance'!B55,"AAAAAFr/8iw=")</f>
        <v>#VALUE!</v>
      </c>
      <c r="AT4" t="e">
        <f>AND('Application, maintenance'!C55,"AAAAAFr/8i0=")</f>
        <v>#VALUE!</v>
      </c>
      <c r="AU4" t="e">
        <f>AND('Application, maintenance'!D55,"AAAAAFr/8i4=")</f>
        <v>#VALUE!</v>
      </c>
      <c r="AV4" t="e">
        <f>AND('Application, maintenance'!E55,"AAAAAFr/8i8=")</f>
        <v>#VALUE!</v>
      </c>
      <c r="AW4" t="e">
        <f>AND('Application, maintenance'!F55,"AAAAAFr/8jA=")</f>
        <v>#VALUE!</v>
      </c>
      <c r="AX4" t="e">
        <f>AND('Application, maintenance'!G55,"AAAAAFr/8jE=")</f>
        <v>#VALUE!</v>
      </c>
      <c r="AY4" t="e">
        <f>AND('Application, maintenance'!H55,"AAAAAFr/8jI=")</f>
        <v>#VALUE!</v>
      </c>
      <c r="AZ4" t="e">
        <f>AND('Application, maintenance'!I55,"AAAAAFr/8jM=")</f>
        <v>#VALUE!</v>
      </c>
      <c r="BA4" t="e">
        <f>AND('Application, maintenance'!J55,"AAAAAFr/8jQ=")</f>
        <v>#VALUE!</v>
      </c>
      <c r="BB4" t="e">
        <f>AND('Application, maintenance'!K55,"AAAAAFr/8jU=")</f>
        <v>#VALUE!</v>
      </c>
      <c r="BC4" t="e">
        <f>AND('Application, maintenance'!L55,"AAAAAFr/8jY=")</f>
        <v>#VALUE!</v>
      </c>
      <c r="BD4" t="e">
        <f>AND('Application, maintenance'!M55,"AAAAAFr/8jc=")</f>
        <v>#VALUE!</v>
      </c>
      <c r="BE4" t="e">
        <f>AND('Application, maintenance'!N55,"AAAAAFr/8jg=")</f>
        <v>#VALUE!</v>
      </c>
      <c r="BF4">
        <f>IF('Application, maintenance'!56:56,"AAAAAFr/8jk=",0)</f>
        <v>0</v>
      </c>
      <c r="BG4" t="e">
        <f>AND('Application, maintenance'!A56,"AAAAAFr/8jo=")</f>
        <v>#VALUE!</v>
      </c>
      <c r="BH4" t="e">
        <f>AND('Application, maintenance'!B56,"AAAAAFr/8js=")</f>
        <v>#VALUE!</v>
      </c>
      <c r="BI4" t="e">
        <f>AND('Application, maintenance'!C56,"AAAAAFr/8jw=")</f>
        <v>#VALUE!</v>
      </c>
      <c r="BJ4" t="e">
        <f>AND('Application, maintenance'!D56,"AAAAAFr/8j0=")</f>
        <v>#VALUE!</v>
      </c>
      <c r="BK4" t="e">
        <f>AND('Application, maintenance'!E56,"AAAAAFr/8j4=")</f>
        <v>#VALUE!</v>
      </c>
      <c r="BL4" t="e">
        <f>AND('Application, maintenance'!F56,"AAAAAFr/8j8=")</f>
        <v>#VALUE!</v>
      </c>
      <c r="BM4" t="e">
        <f>AND('Application, maintenance'!G56,"AAAAAFr/8kA=")</f>
        <v>#VALUE!</v>
      </c>
      <c r="BN4" t="e">
        <f>AND('Application, maintenance'!H56,"AAAAAFr/8kE=")</f>
        <v>#VALUE!</v>
      </c>
      <c r="BO4" t="e">
        <f>AND('Application, maintenance'!I56,"AAAAAFr/8kI=")</f>
        <v>#VALUE!</v>
      </c>
      <c r="BP4" t="e">
        <f>AND('Application, maintenance'!J56,"AAAAAFr/8kM=")</f>
        <v>#VALUE!</v>
      </c>
      <c r="BQ4" t="e">
        <f>AND('Application, maintenance'!K56,"AAAAAFr/8kQ=")</f>
        <v>#VALUE!</v>
      </c>
      <c r="BR4" t="e">
        <f>AND('Application, maintenance'!L56,"AAAAAFr/8kU=")</f>
        <v>#VALUE!</v>
      </c>
      <c r="BS4" t="e">
        <f>AND('Application, maintenance'!M56,"AAAAAFr/8kY=")</f>
        <v>#VALUE!</v>
      </c>
      <c r="BT4" t="e">
        <f>AND('Application, maintenance'!N56,"AAAAAFr/8kc=")</f>
        <v>#VALUE!</v>
      </c>
      <c r="BU4">
        <f>IF('Application, maintenance'!57:57,"AAAAAFr/8kg=",0)</f>
        <v>0</v>
      </c>
      <c r="BV4" t="e">
        <f>AND('Application, maintenance'!A57,"AAAAAFr/8kk=")</f>
        <v>#VALUE!</v>
      </c>
      <c r="BW4" t="e">
        <f>AND('Application, maintenance'!B57,"AAAAAFr/8ko=")</f>
        <v>#VALUE!</v>
      </c>
      <c r="BX4" t="e">
        <f>AND('Application, maintenance'!C57,"AAAAAFr/8ks=")</f>
        <v>#VALUE!</v>
      </c>
      <c r="BY4" t="e">
        <f>AND('Application, maintenance'!D57,"AAAAAFr/8kw=")</f>
        <v>#VALUE!</v>
      </c>
      <c r="BZ4" t="e">
        <f>AND('Application, maintenance'!E57,"AAAAAFr/8k0=")</f>
        <v>#VALUE!</v>
      </c>
      <c r="CA4" t="e">
        <f>AND('Application, maintenance'!F57,"AAAAAFr/8k4=")</f>
        <v>#VALUE!</v>
      </c>
      <c r="CB4" t="e">
        <f>AND('Application, maintenance'!G57,"AAAAAFr/8k8=")</f>
        <v>#VALUE!</v>
      </c>
      <c r="CC4" t="e">
        <f>AND('Application, maintenance'!H57,"AAAAAFr/8lA=")</f>
        <v>#VALUE!</v>
      </c>
      <c r="CD4" t="e">
        <f>AND('Application, maintenance'!I57,"AAAAAFr/8lE=")</f>
        <v>#VALUE!</v>
      </c>
      <c r="CE4" t="e">
        <f>AND('Application, maintenance'!J57,"AAAAAFr/8lI=")</f>
        <v>#VALUE!</v>
      </c>
      <c r="CF4" t="e">
        <f>AND('Application, maintenance'!K57,"AAAAAFr/8lM=")</f>
        <v>#VALUE!</v>
      </c>
      <c r="CG4" t="e">
        <f>AND('Application, maintenance'!L57,"AAAAAFr/8lQ=")</f>
        <v>#VALUE!</v>
      </c>
      <c r="CH4" t="e">
        <f>AND('Application, maintenance'!M57,"AAAAAFr/8lU=")</f>
        <v>#VALUE!</v>
      </c>
      <c r="CI4" t="e">
        <f>AND('Application, maintenance'!N57,"AAAAAFr/8lY=")</f>
        <v>#VALUE!</v>
      </c>
      <c r="CJ4">
        <f>IF('Application, maintenance'!58:58,"AAAAAFr/8lc=",0)</f>
        <v>0</v>
      </c>
      <c r="CK4" t="e">
        <f>AND('Application, maintenance'!A58,"AAAAAFr/8lg=")</f>
        <v>#VALUE!</v>
      </c>
      <c r="CL4" t="e">
        <f>AND('Application, maintenance'!B58,"AAAAAFr/8lk=")</f>
        <v>#VALUE!</v>
      </c>
      <c r="CM4" t="e">
        <f>AND('Application, maintenance'!C58,"AAAAAFr/8lo=")</f>
        <v>#VALUE!</v>
      </c>
      <c r="CN4" t="e">
        <f>AND('Application, maintenance'!D58,"AAAAAFr/8ls=")</f>
        <v>#VALUE!</v>
      </c>
      <c r="CO4" t="e">
        <f>AND('Application, maintenance'!E58,"AAAAAFr/8lw=")</f>
        <v>#VALUE!</v>
      </c>
      <c r="CP4" t="e">
        <f>AND('Application, maintenance'!F58,"AAAAAFr/8l0=")</f>
        <v>#VALUE!</v>
      </c>
      <c r="CQ4" t="e">
        <f>AND('Application, maintenance'!G58,"AAAAAFr/8l4=")</f>
        <v>#VALUE!</v>
      </c>
      <c r="CR4" t="e">
        <f>AND('Application, maintenance'!H58,"AAAAAFr/8l8=")</f>
        <v>#VALUE!</v>
      </c>
      <c r="CS4" t="e">
        <f>AND('Application, maintenance'!I58,"AAAAAFr/8mA=")</f>
        <v>#VALUE!</v>
      </c>
      <c r="CT4" t="e">
        <f>AND('Application, maintenance'!J58,"AAAAAFr/8mE=")</f>
        <v>#VALUE!</v>
      </c>
      <c r="CU4" t="e">
        <f>AND('Application, maintenance'!K58,"AAAAAFr/8mI=")</f>
        <v>#VALUE!</v>
      </c>
      <c r="CV4" t="e">
        <f>AND('Application, maintenance'!L58,"AAAAAFr/8mM=")</f>
        <v>#VALUE!</v>
      </c>
      <c r="CW4" t="e">
        <f>AND('Application, maintenance'!M58,"AAAAAFr/8mQ=")</f>
        <v>#VALUE!</v>
      </c>
      <c r="CX4" t="e">
        <f>AND('Application, maintenance'!N58,"AAAAAFr/8mU=")</f>
        <v>#VALUE!</v>
      </c>
      <c r="CY4">
        <f>IF('Application, maintenance'!59:59,"AAAAAFr/8mY=",0)</f>
        <v>0</v>
      </c>
      <c r="CZ4" t="e">
        <f>AND('Application, maintenance'!A59,"AAAAAFr/8mc=")</f>
        <v>#VALUE!</v>
      </c>
      <c r="DA4" t="e">
        <f>AND('Application, maintenance'!B59,"AAAAAFr/8mg=")</f>
        <v>#VALUE!</v>
      </c>
      <c r="DB4" t="e">
        <f>AND('Application, maintenance'!C59,"AAAAAFr/8mk=")</f>
        <v>#VALUE!</v>
      </c>
      <c r="DC4" t="e">
        <f>AND('Application, maintenance'!D59,"AAAAAFr/8mo=")</f>
        <v>#VALUE!</v>
      </c>
      <c r="DD4" t="e">
        <f>AND('Application, maintenance'!E59,"AAAAAFr/8ms=")</f>
        <v>#VALUE!</v>
      </c>
      <c r="DE4" t="e">
        <f>AND('Application, maintenance'!F59,"AAAAAFr/8mw=")</f>
        <v>#VALUE!</v>
      </c>
      <c r="DF4" t="e">
        <f>AND('Application, maintenance'!G59,"AAAAAFr/8m0=")</f>
        <v>#VALUE!</v>
      </c>
      <c r="DG4" t="e">
        <f>AND('Application, maintenance'!H59,"AAAAAFr/8m4=")</f>
        <v>#VALUE!</v>
      </c>
      <c r="DH4" t="e">
        <f>AND('Application, maintenance'!I59,"AAAAAFr/8m8=")</f>
        <v>#VALUE!</v>
      </c>
      <c r="DI4" t="e">
        <f>AND('Application, maintenance'!J59,"AAAAAFr/8nA=")</f>
        <v>#VALUE!</v>
      </c>
      <c r="DJ4" t="e">
        <f>AND('Application, maintenance'!K59,"AAAAAFr/8nE=")</f>
        <v>#VALUE!</v>
      </c>
      <c r="DK4" t="e">
        <f>AND('Application, maintenance'!L59,"AAAAAFr/8nI=")</f>
        <v>#VALUE!</v>
      </c>
      <c r="DL4" t="e">
        <f>AND('Application, maintenance'!M59,"AAAAAFr/8nM=")</f>
        <v>#VALUE!</v>
      </c>
      <c r="DM4" t="e">
        <f>AND('Application, maintenance'!N59,"AAAAAFr/8nQ=")</f>
        <v>#VALUE!</v>
      </c>
      <c r="DN4">
        <f>IF('Application, maintenance'!60:60,"AAAAAFr/8nU=",0)</f>
        <v>0</v>
      </c>
      <c r="DO4" t="e">
        <f>AND('Application, maintenance'!A60,"AAAAAFr/8nY=")</f>
        <v>#VALUE!</v>
      </c>
      <c r="DP4" t="e">
        <f>AND('Application, maintenance'!B60,"AAAAAFr/8nc=")</f>
        <v>#VALUE!</v>
      </c>
      <c r="DQ4" t="e">
        <f>AND('Application, maintenance'!C60,"AAAAAFr/8ng=")</f>
        <v>#VALUE!</v>
      </c>
      <c r="DR4" t="e">
        <f>AND('Application, maintenance'!D60,"AAAAAFr/8nk=")</f>
        <v>#VALUE!</v>
      </c>
      <c r="DS4" t="e">
        <f>AND('Application, maintenance'!E60,"AAAAAFr/8no=")</f>
        <v>#VALUE!</v>
      </c>
      <c r="DT4" t="e">
        <f>AND('Application, maintenance'!F60,"AAAAAFr/8ns=")</f>
        <v>#VALUE!</v>
      </c>
      <c r="DU4" t="e">
        <f>AND('Application, maintenance'!G60,"AAAAAFr/8nw=")</f>
        <v>#VALUE!</v>
      </c>
      <c r="DV4" t="e">
        <f>AND('Application, maintenance'!H60,"AAAAAFr/8n0=")</f>
        <v>#VALUE!</v>
      </c>
      <c r="DW4" t="e">
        <f>AND('Application, maintenance'!I60,"AAAAAFr/8n4=")</f>
        <v>#VALUE!</v>
      </c>
      <c r="DX4" t="e">
        <f>AND('Application, maintenance'!J60,"AAAAAFr/8n8=")</f>
        <v>#VALUE!</v>
      </c>
      <c r="DY4" t="e">
        <f>AND('Application, maintenance'!K60,"AAAAAFr/8oA=")</f>
        <v>#VALUE!</v>
      </c>
      <c r="DZ4" t="e">
        <f>AND('Application, maintenance'!L60,"AAAAAFr/8oE=")</f>
        <v>#VALUE!</v>
      </c>
      <c r="EA4" t="e">
        <f>AND('Application, maintenance'!M60,"AAAAAFr/8oI=")</f>
        <v>#VALUE!</v>
      </c>
      <c r="EB4" t="e">
        <f>AND('Application, maintenance'!N60,"AAAAAFr/8oM=")</f>
        <v>#VALUE!</v>
      </c>
      <c r="EC4">
        <f>IF('Application, maintenance'!61:61,"AAAAAFr/8oQ=",0)</f>
        <v>0</v>
      </c>
      <c r="ED4" t="e">
        <f>AND('Application, maintenance'!A61,"AAAAAFr/8oU=")</f>
        <v>#VALUE!</v>
      </c>
      <c r="EE4" t="e">
        <f>AND('Application, maintenance'!B61,"AAAAAFr/8oY=")</f>
        <v>#VALUE!</v>
      </c>
      <c r="EF4" t="e">
        <f>AND('Application, maintenance'!C61,"AAAAAFr/8oc=")</f>
        <v>#VALUE!</v>
      </c>
      <c r="EG4" t="e">
        <f>AND('Application, maintenance'!D61,"AAAAAFr/8og=")</f>
        <v>#VALUE!</v>
      </c>
      <c r="EH4" t="e">
        <f>AND('Application, maintenance'!E61,"AAAAAFr/8ok=")</f>
        <v>#VALUE!</v>
      </c>
      <c r="EI4" t="e">
        <f>AND('Application, maintenance'!F61,"AAAAAFr/8oo=")</f>
        <v>#VALUE!</v>
      </c>
      <c r="EJ4" t="e">
        <f>AND('Application, maintenance'!G61,"AAAAAFr/8os=")</f>
        <v>#VALUE!</v>
      </c>
      <c r="EK4" t="e">
        <f>AND('Application, maintenance'!H61,"AAAAAFr/8ow=")</f>
        <v>#VALUE!</v>
      </c>
      <c r="EL4" t="e">
        <f>AND('Application, maintenance'!I61,"AAAAAFr/8o0=")</f>
        <v>#VALUE!</v>
      </c>
      <c r="EM4" t="e">
        <f>AND('Application, maintenance'!J61,"AAAAAFr/8o4=")</f>
        <v>#VALUE!</v>
      </c>
      <c r="EN4" t="e">
        <f>AND('Application, maintenance'!K61,"AAAAAFr/8o8=")</f>
        <v>#VALUE!</v>
      </c>
      <c r="EO4" t="e">
        <f>AND('Application, maintenance'!L61,"AAAAAFr/8pA=")</f>
        <v>#VALUE!</v>
      </c>
      <c r="EP4" t="e">
        <f>AND('Application, maintenance'!M61,"AAAAAFr/8pE=")</f>
        <v>#VALUE!</v>
      </c>
      <c r="EQ4" t="e">
        <f>AND('Application, maintenance'!N61,"AAAAAFr/8pI=")</f>
        <v>#VALUE!</v>
      </c>
      <c r="ER4">
        <f>IF('Application, maintenance'!62:62,"AAAAAFr/8pM=",0)</f>
        <v>0</v>
      </c>
      <c r="ES4" t="e">
        <f>AND('Application, maintenance'!A62,"AAAAAFr/8pQ=")</f>
        <v>#VALUE!</v>
      </c>
      <c r="ET4" t="e">
        <f>AND('Application, maintenance'!B62,"AAAAAFr/8pU=")</f>
        <v>#VALUE!</v>
      </c>
      <c r="EU4" t="e">
        <f>AND('Application, maintenance'!C62,"AAAAAFr/8pY=")</f>
        <v>#VALUE!</v>
      </c>
      <c r="EV4" t="e">
        <f>AND('Application, maintenance'!D62,"AAAAAFr/8pc=")</f>
        <v>#VALUE!</v>
      </c>
      <c r="EW4" t="e">
        <f>AND('Application, maintenance'!E62,"AAAAAFr/8pg=")</f>
        <v>#VALUE!</v>
      </c>
      <c r="EX4" t="e">
        <f>AND('Application, maintenance'!F62,"AAAAAFr/8pk=")</f>
        <v>#VALUE!</v>
      </c>
      <c r="EY4" t="e">
        <f>AND('Application, maintenance'!G62,"AAAAAFr/8po=")</f>
        <v>#VALUE!</v>
      </c>
      <c r="EZ4" t="e">
        <f>AND('Application, maintenance'!H62,"AAAAAFr/8ps=")</f>
        <v>#VALUE!</v>
      </c>
      <c r="FA4" t="e">
        <f>AND('Application, maintenance'!I62,"AAAAAFr/8pw=")</f>
        <v>#VALUE!</v>
      </c>
      <c r="FB4" t="e">
        <f>AND('Application, maintenance'!J62,"AAAAAFr/8p0=")</f>
        <v>#VALUE!</v>
      </c>
      <c r="FC4" t="e">
        <f>AND('Application, maintenance'!K62,"AAAAAFr/8p4=")</f>
        <v>#VALUE!</v>
      </c>
      <c r="FD4" t="e">
        <f>AND('Application, maintenance'!L62,"AAAAAFr/8p8=")</f>
        <v>#VALUE!</v>
      </c>
      <c r="FE4" t="e">
        <f>AND('Application, maintenance'!M62,"AAAAAFr/8qA=")</f>
        <v>#VALUE!</v>
      </c>
      <c r="FF4" t="e">
        <f>AND('Application, maintenance'!N62,"AAAAAFr/8qE=")</f>
        <v>#VALUE!</v>
      </c>
      <c r="FG4">
        <f>IF('Application, maintenance'!63:63,"AAAAAFr/8qI=",0)</f>
        <v>0</v>
      </c>
      <c r="FH4" t="e">
        <f>AND('Application, maintenance'!A63,"AAAAAFr/8qM=")</f>
        <v>#VALUE!</v>
      </c>
      <c r="FI4" t="e">
        <f>AND('Application, maintenance'!B63,"AAAAAFr/8qQ=")</f>
        <v>#VALUE!</v>
      </c>
      <c r="FJ4" t="e">
        <f>AND('Application, maintenance'!C63,"AAAAAFr/8qU=")</f>
        <v>#VALUE!</v>
      </c>
      <c r="FK4" t="e">
        <f>AND('Application, maintenance'!D63,"AAAAAFr/8qY=")</f>
        <v>#VALUE!</v>
      </c>
      <c r="FL4" t="e">
        <f>AND('Application, maintenance'!E63,"AAAAAFr/8qc=")</f>
        <v>#VALUE!</v>
      </c>
      <c r="FM4" t="e">
        <f>AND('Application, maintenance'!F63,"AAAAAFr/8qg=")</f>
        <v>#VALUE!</v>
      </c>
      <c r="FN4" t="e">
        <f>AND('Application, maintenance'!G63,"AAAAAFr/8qk=")</f>
        <v>#VALUE!</v>
      </c>
      <c r="FO4" t="e">
        <f>AND('Application, maintenance'!H63,"AAAAAFr/8qo=")</f>
        <v>#VALUE!</v>
      </c>
      <c r="FP4" t="e">
        <f>AND('Application, maintenance'!I63,"AAAAAFr/8qs=")</f>
        <v>#VALUE!</v>
      </c>
      <c r="FQ4" t="e">
        <f>AND('Application, maintenance'!J63,"AAAAAFr/8qw=")</f>
        <v>#VALUE!</v>
      </c>
      <c r="FR4" t="e">
        <f>AND('Application, maintenance'!K63,"AAAAAFr/8q0=")</f>
        <v>#VALUE!</v>
      </c>
      <c r="FS4" t="e">
        <f>AND('Application, maintenance'!L63,"AAAAAFr/8q4=")</f>
        <v>#VALUE!</v>
      </c>
      <c r="FT4" t="e">
        <f>AND('Application, maintenance'!M63,"AAAAAFr/8q8=")</f>
        <v>#VALUE!</v>
      </c>
      <c r="FU4" t="e">
        <f>AND('Application, maintenance'!N63,"AAAAAFr/8rA=")</f>
        <v>#VALUE!</v>
      </c>
      <c r="FV4">
        <f>IF('Application, maintenance'!64:64,"AAAAAFr/8rE=",0)</f>
        <v>0</v>
      </c>
      <c r="FW4" t="e">
        <f>AND('Application, maintenance'!A64,"AAAAAFr/8rI=")</f>
        <v>#VALUE!</v>
      </c>
      <c r="FX4" t="e">
        <f>AND('Application, maintenance'!B64,"AAAAAFr/8rM=")</f>
        <v>#VALUE!</v>
      </c>
      <c r="FY4" t="e">
        <f>AND('Application, maintenance'!C64,"AAAAAFr/8rQ=")</f>
        <v>#VALUE!</v>
      </c>
      <c r="FZ4" t="e">
        <f>AND('Application, maintenance'!D64,"AAAAAFr/8rU=")</f>
        <v>#VALUE!</v>
      </c>
      <c r="GA4" t="e">
        <f>AND('Application, maintenance'!E64,"AAAAAFr/8rY=")</f>
        <v>#VALUE!</v>
      </c>
      <c r="GB4" t="e">
        <f>AND('Application, maintenance'!F64,"AAAAAFr/8rc=")</f>
        <v>#VALUE!</v>
      </c>
      <c r="GC4" t="e">
        <f>AND('Application, maintenance'!G64,"AAAAAFr/8rg=")</f>
        <v>#VALUE!</v>
      </c>
      <c r="GD4" t="e">
        <f>AND('Application, maintenance'!H64,"AAAAAFr/8rk=")</f>
        <v>#VALUE!</v>
      </c>
      <c r="GE4" t="e">
        <f>AND('Application, maintenance'!I64,"AAAAAFr/8ro=")</f>
        <v>#VALUE!</v>
      </c>
      <c r="GF4" t="e">
        <f>AND('Application, maintenance'!J64,"AAAAAFr/8rs=")</f>
        <v>#VALUE!</v>
      </c>
      <c r="GG4" t="e">
        <f>AND('Application, maintenance'!K64,"AAAAAFr/8rw=")</f>
        <v>#VALUE!</v>
      </c>
      <c r="GH4" t="e">
        <f>AND('Application, maintenance'!L64,"AAAAAFr/8r0=")</f>
        <v>#VALUE!</v>
      </c>
      <c r="GI4" t="e">
        <f>AND('Application, maintenance'!M64,"AAAAAFr/8r4=")</f>
        <v>#VALUE!</v>
      </c>
      <c r="GJ4" t="e">
        <f>AND('Application, maintenance'!N64,"AAAAAFr/8r8=")</f>
        <v>#VALUE!</v>
      </c>
      <c r="GK4">
        <f>IF('Application, maintenance'!65:65,"AAAAAFr/8sA=",0)</f>
        <v>0</v>
      </c>
      <c r="GL4" t="e">
        <f>AND('Application, maintenance'!A65,"AAAAAFr/8sE=")</f>
        <v>#VALUE!</v>
      </c>
      <c r="GM4" t="e">
        <f>AND('Application, maintenance'!B65,"AAAAAFr/8sI=")</f>
        <v>#VALUE!</v>
      </c>
      <c r="GN4" t="e">
        <f>AND('Application, maintenance'!C65,"AAAAAFr/8sM=")</f>
        <v>#VALUE!</v>
      </c>
      <c r="GO4" t="e">
        <f>AND('Application, maintenance'!D65,"AAAAAFr/8sQ=")</f>
        <v>#VALUE!</v>
      </c>
      <c r="GP4" t="e">
        <f>AND('Application, maintenance'!E65,"AAAAAFr/8sU=")</f>
        <v>#VALUE!</v>
      </c>
      <c r="GQ4" t="e">
        <f>AND('Application, maintenance'!F65,"AAAAAFr/8sY=")</f>
        <v>#VALUE!</v>
      </c>
      <c r="GR4" t="e">
        <f>AND('Application, maintenance'!G65,"AAAAAFr/8sc=")</f>
        <v>#VALUE!</v>
      </c>
      <c r="GS4" t="e">
        <f>AND('Application, maintenance'!H65,"AAAAAFr/8sg=")</f>
        <v>#VALUE!</v>
      </c>
      <c r="GT4" t="e">
        <f>AND('Application, maintenance'!I65,"AAAAAFr/8sk=")</f>
        <v>#VALUE!</v>
      </c>
      <c r="GU4" t="e">
        <f>AND('Application, maintenance'!J65,"AAAAAFr/8so=")</f>
        <v>#VALUE!</v>
      </c>
      <c r="GV4" t="e">
        <f>AND('Application, maintenance'!K65,"AAAAAFr/8ss=")</f>
        <v>#VALUE!</v>
      </c>
      <c r="GW4" t="e">
        <f>AND('Application, maintenance'!L65,"AAAAAFr/8sw=")</f>
        <v>#VALUE!</v>
      </c>
      <c r="GX4" t="e">
        <f>AND('Application, maintenance'!M65,"AAAAAFr/8s0=")</f>
        <v>#VALUE!</v>
      </c>
      <c r="GY4" t="e">
        <f>AND('Application, maintenance'!N65,"AAAAAFr/8s4=")</f>
        <v>#VALUE!</v>
      </c>
      <c r="GZ4">
        <f>IF('Application, maintenance'!66:66,"AAAAAFr/8s8=",0)</f>
        <v>0</v>
      </c>
      <c r="HA4" t="e">
        <f>AND('Application, maintenance'!A66,"AAAAAFr/8tA=")</f>
        <v>#VALUE!</v>
      </c>
      <c r="HB4" t="e">
        <f>AND('Application, maintenance'!B66,"AAAAAFr/8tE=")</f>
        <v>#VALUE!</v>
      </c>
      <c r="HC4" t="e">
        <f>AND('Application, maintenance'!C66,"AAAAAFr/8tI=")</f>
        <v>#VALUE!</v>
      </c>
      <c r="HD4" t="e">
        <f>AND('Application, maintenance'!D66,"AAAAAFr/8tM=")</f>
        <v>#VALUE!</v>
      </c>
      <c r="HE4" t="e">
        <f>AND('Application, maintenance'!E66,"AAAAAFr/8tQ=")</f>
        <v>#VALUE!</v>
      </c>
      <c r="HF4" t="e">
        <f>AND('Application, maintenance'!F66,"AAAAAFr/8tU=")</f>
        <v>#VALUE!</v>
      </c>
      <c r="HG4" t="e">
        <f>AND('Application, maintenance'!G66,"AAAAAFr/8tY=")</f>
        <v>#VALUE!</v>
      </c>
      <c r="HH4" t="e">
        <f>AND('Application, maintenance'!H66,"AAAAAFr/8tc=")</f>
        <v>#VALUE!</v>
      </c>
      <c r="HI4" t="e">
        <f>AND('Application, maintenance'!I66,"AAAAAFr/8tg=")</f>
        <v>#VALUE!</v>
      </c>
      <c r="HJ4" t="e">
        <f>AND('Application, maintenance'!J66,"AAAAAFr/8tk=")</f>
        <v>#VALUE!</v>
      </c>
      <c r="HK4" t="e">
        <f>AND('Application, maintenance'!K66,"AAAAAFr/8to=")</f>
        <v>#VALUE!</v>
      </c>
      <c r="HL4" t="e">
        <f>AND('Application, maintenance'!L66,"AAAAAFr/8ts=")</f>
        <v>#VALUE!</v>
      </c>
      <c r="HM4" t="e">
        <f>AND('Application, maintenance'!M66,"AAAAAFr/8tw=")</f>
        <v>#VALUE!</v>
      </c>
      <c r="HN4" t="e">
        <f>AND('Application, maintenance'!N66,"AAAAAFr/8t0=")</f>
        <v>#VALUE!</v>
      </c>
      <c r="HO4">
        <f>IF('Application, maintenance'!67:67,"AAAAAFr/8t4=",0)</f>
        <v>0</v>
      </c>
      <c r="HP4" t="e">
        <f>AND('Application, maintenance'!A67,"AAAAAFr/8t8=")</f>
        <v>#VALUE!</v>
      </c>
      <c r="HQ4" t="e">
        <f>AND('Application, maintenance'!B67,"AAAAAFr/8uA=")</f>
        <v>#VALUE!</v>
      </c>
      <c r="HR4" t="e">
        <f>AND('Application, maintenance'!C67,"AAAAAFr/8uE=")</f>
        <v>#VALUE!</v>
      </c>
      <c r="HS4" t="e">
        <f>AND('Application, maintenance'!D67,"AAAAAFr/8uI=")</f>
        <v>#VALUE!</v>
      </c>
      <c r="HT4" t="e">
        <f>AND('Application, maintenance'!E67,"AAAAAFr/8uM=")</f>
        <v>#VALUE!</v>
      </c>
      <c r="HU4" t="e">
        <f>AND('Application, maintenance'!F67,"AAAAAFr/8uQ=")</f>
        <v>#VALUE!</v>
      </c>
      <c r="HV4" t="e">
        <f>AND('Application, maintenance'!G67,"AAAAAFr/8uU=")</f>
        <v>#VALUE!</v>
      </c>
      <c r="HW4" t="e">
        <f>AND('Application, maintenance'!H67,"AAAAAFr/8uY=")</f>
        <v>#VALUE!</v>
      </c>
      <c r="HX4" t="e">
        <f>AND('Application, maintenance'!I67,"AAAAAFr/8uc=")</f>
        <v>#VALUE!</v>
      </c>
      <c r="HY4" t="e">
        <f>AND('Application, maintenance'!J67,"AAAAAFr/8ug=")</f>
        <v>#VALUE!</v>
      </c>
      <c r="HZ4" t="e">
        <f>AND('Application, maintenance'!K67,"AAAAAFr/8uk=")</f>
        <v>#VALUE!</v>
      </c>
      <c r="IA4" t="e">
        <f>AND('Application, maintenance'!L67,"AAAAAFr/8uo=")</f>
        <v>#VALUE!</v>
      </c>
      <c r="IB4" t="e">
        <f>AND('Application, maintenance'!M67,"AAAAAFr/8us=")</f>
        <v>#VALUE!</v>
      </c>
      <c r="IC4" t="e">
        <f>AND('Application, maintenance'!N67,"AAAAAFr/8uw=")</f>
        <v>#VALUE!</v>
      </c>
      <c r="ID4">
        <f>IF('Application, maintenance'!68:68,"AAAAAFr/8u0=",0)</f>
        <v>0</v>
      </c>
      <c r="IE4" t="e">
        <f>AND('Application, maintenance'!A68,"AAAAAFr/8u4=")</f>
        <v>#VALUE!</v>
      </c>
      <c r="IF4" t="e">
        <f>AND('Application, maintenance'!B68,"AAAAAFr/8u8=")</f>
        <v>#VALUE!</v>
      </c>
      <c r="IG4" t="e">
        <f>AND('Application, maintenance'!C68,"AAAAAFr/8vA=")</f>
        <v>#VALUE!</v>
      </c>
      <c r="IH4" t="e">
        <f>AND('Application, maintenance'!D68,"AAAAAFr/8vE=")</f>
        <v>#VALUE!</v>
      </c>
      <c r="II4" t="e">
        <f>AND('Application, maintenance'!E68,"AAAAAFr/8vI=")</f>
        <v>#VALUE!</v>
      </c>
      <c r="IJ4" t="e">
        <f>AND('Application, maintenance'!F68,"AAAAAFr/8vM=")</f>
        <v>#VALUE!</v>
      </c>
      <c r="IK4" t="e">
        <f>AND('Application, maintenance'!G68,"AAAAAFr/8vQ=")</f>
        <v>#VALUE!</v>
      </c>
      <c r="IL4" t="e">
        <f>AND('Application, maintenance'!H68,"AAAAAFr/8vU=")</f>
        <v>#VALUE!</v>
      </c>
      <c r="IM4" t="e">
        <f>AND('Application, maintenance'!I68,"AAAAAFr/8vY=")</f>
        <v>#VALUE!</v>
      </c>
      <c r="IN4" t="e">
        <f>AND('Application, maintenance'!J68,"AAAAAFr/8vc=")</f>
        <v>#VALUE!</v>
      </c>
      <c r="IO4" t="e">
        <f>AND('Application, maintenance'!K68,"AAAAAFr/8vg=")</f>
        <v>#VALUE!</v>
      </c>
      <c r="IP4" t="e">
        <f>AND('Application, maintenance'!L68,"AAAAAFr/8vk=")</f>
        <v>#VALUE!</v>
      </c>
      <c r="IQ4" t="e">
        <f>AND('Application, maintenance'!M68,"AAAAAFr/8vo=")</f>
        <v>#VALUE!</v>
      </c>
      <c r="IR4" t="e">
        <f>AND('Application, maintenance'!N68,"AAAAAFr/8vs=")</f>
        <v>#VALUE!</v>
      </c>
      <c r="IS4">
        <f>IF('Application, maintenance'!69:69,"AAAAAFr/8vw=",0)</f>
        <v>0</v>
      </c>
      <c r="IT4" t="e">
        <f>AND('Application, maintenance'!A69,"AAAAAFr/8v0=")</f>
        <v>#VALUE!</v>
      </c>
      <c r="IU4" t="e">
        <f>AND('Application, maintenance'!B69,"AAAAAFr/8v4=")</f>
        <v>#VALUE!</v>
      </c>
      <c r="IV4" t="e">
        <f>AND('Application, maintenance'!C69,"AAAAAFr/8v8=")</f>
        <v>#VALUE!</v>
      </c>
    </row>
    <row r="5" spans="1:256" ht="12.75">
      <c r="A5" t="e">
        <f>AND('Application, maintenance'!D69,"AAAAAHW9LgA=")</f>
        <v>#VALUE!</v>
      </c>
      <c r="B5" t="e">
        <f>AND('Application, maintenance'!E69,"AAAAAHW9LgE=")</f>
        <v>#VALUE!</v>
      </c>
      <c r="C5" t="e">
        <f>AND('Application, maintenance'!F69,"AAAAAHW9LgI=")</f>
        <v>#VALUE!</v>
      </c>
      <c r="D5" t="e">
        <f>AND('Application, maintenance'!G69,"AAAAAHW9LgM=")</f>
        <v>#VALUE!</v>
      </c>
      <c r="E5" t="e">
        <f>AND('Application, maintenance'!H69,"AAAAAHW9LgQ=")</f>
        <v>#VALUE!</v>
      </c>
      <c r="F5" t="e">
        <f>AND('Application, maintenance'!I69,"AAAAAHW9LgU=")</f>
        <v>#VALUE!</v>
      </c>
      <c r="G5" t="e">
        <f>AND('Application, maintenance'!J69,"AAAAAHW9LgY=")</f>
        <v>#VALUE!</v>
      </c>
      <c r="H5" t="e">
        <f>AND('Application, maintenance'!K69,"AAAAAHW9Lgc=")</f>
        <v>#VALUE!</v>
      </c>
      <c r="I5" t="e">
        <f>AND('Application, maintenance'!L69,"AAAAAHW9Lgg=")</f>
        <v>#VALUE!</v>
      </c>
      <c r="J5" t="e">
        <f>AND('Application, maintenance'!M69,"AAAAAHW9Lgk=")</f>
        <v>#VALUE!</v>
      </c>
      <c r="K5" t="e">
        <f>AND('Application, maintenance'!N69,"AAAAAHW9Lgo=")</f>
        <v>#VALUE!</v>
      </c>
      <c r="L5">
        <f>IF('Application, maintenance'!70:70,"AAAAAHW9Lgs=",0)</f>
        <v>0</v>
      </c>
      <c r="M5" t="e">
        <f>AND('Application, maintenance'!A70,"AAAAAHW9Lgw=")</f>
        <v>#VALUE!</v>
      </c>
      <c r="N5" t="e">
        <f>AND('Application, maintenance'!B70,"AAAAAHW9Lg0=")</f>
        <v>#VALUE!</v>
      </c>
      <c r="O5" t="e">
        <f>AND('Application, maintenance'!C70,"AAAAAHW9Lg4=")</f>
        <v>#VALUE!</v>
      </c>
      <c r="P5" t="e">
        <f>AND('Application, maintenance'!D70,"AAAAAHW9Lg8=")</f>
        <v>#VALUE!</v>
      </c>
      <c r="Q5" t="e">
        <f>AND('Application, maintenance'!E70,"AAAAAHW9LhA=")</f>
        <v>#VALUE!</v>
      </c>
      <c r="R5" t="e">
        <f>AND('Application, maintenance'!F70,"AAAAAHW9LhE=")</f>
        <v>#VALUE!</v>
      </c>
      <c r="S5" t="e">
        <f>AND('Application, maintenance'!G70,"AAAAAHW9LhI=")</f>
        <v>#VALUE!</v>
      </c>
      <c r="T5" t="e">
        <f>AND('Application, maintenance'!H70,"AAAAAHW9LhM=")</f>
        <v>#VALUE!</v>
      </c>
      <c r="U5" t="e">
        <f>AND('Application, maintenance'!I70,"AAAAAHW9LhQ=")</f>
        <v>#VALUE!</v>
      </c>
      <c r="V5" t="e">
        <f>AND('Application, maintenance'!J70,"AAAAAHW9LhU=")</f>
        <v>#VALUE!</v>
      </c>
      <c r="W5" t="e">
        <f>AND('Application, maintenance'!K70,"AAAAAHW9LhY=")</f>
        <v>#VALUE!</v>
      </c>
      <c r="X5" t="e">
        <f>AND('Application, maintenance'!L70,"AAAAAHW9Lhc=")</f>
        <v>#VALUE!</v>
      </c>
      <c r="Y5" t="e">
        <f>AND('Application, maintenance'!M70,"AAAAAHW9Lhg=")</f>
        <v>#VALUE!</v>
      </c>
      <c r="Z5" t="e">
        <f>AND('Application, maintenance'!N70,"AAAAAHW9Lhk=")</f>
        <v>#VALUE!</v>
      </c>
      <c r="AA5">
        <f>IF('Application, maintenance'!71:71,"AAAAAHW9Lho=",0)</f>
        <v>0</v>
      </c>
      <c r="AB5" t="e">
        <f>AND('Application, maintenance'!A71,"AAAAAHW9Lhs=")</f>
        <v>#VALUE!</v>
      </c>
      <c r="AC5" t="e">
        <f>AND('Application, maintenance'!B71,"AAAAAHW9Lhw=")</f>
        <v>#VALUE!</v>
      </c>
      <c r="AD5" t="e">
        <f>AND('Application, maintenance'!C71,"AAAAAHW9Lh0=")</f>
        <v>#VALUE!</v>
      </c>
      <c r="AE5" t="e">
        <f>AND('Application, maintenance'!D71,"AAAAAHW9Lh4=")</f>
        <v>#VALUE!</v>
      </c>
      <c r="AF5" t="e">
        <f>AND('Application, maintenance'!E71,"AAAAAHW9Lh8=")</f>
        <v>#VALUE!</v>
      </c>
      <c r="AG5" t="e">
        <f>AND('Application, maintenance'!F71,"AAAAAHW9LiA=")</f>
        <v>#VALUE!</v>
      </c>
      <c r="AH5" t="e">
        <f>AND('Application, maintenance'!G71,"AAAAAHW9LiE=")</f>
        <v>#VALUE!</v>
      </c>
      <c r="AI5" t="e">
        <f>AND('Application, maintenance'!H71,"AAAAAHW9LiI=")</f>
        <v>#VALUE!</v>
      </c>
      <c r="AJ5" t="e">
        <f>AND('Application, maintenance'!I71,"AAAAAHW9LiM=")</f>
        <v>#VALUE!</v>
      </c>
      <c r="AK5" t="e">
        <f>AND('Application, maintenance'!J71,"AAAAAHW9LiQ=")</f>
        <v>#VALUE!</v>
      </c>
      <c r="AL5" t="e">
        <f>AND('Application, maintenance'!K71,"AAAAAHW9LiU=")</f>
        <v>#VALUE!</v>
      </c>
      <c r="AM5" t="e">
        <f>AND('Application, maintenance'!L71,"AAAAAHW9LiY=")</f>
        <v>#VALUE!</v>
      </c>
      <c r="AN5" t="e">
        <f>AND('Application, maintenance'!M71,"AAAAAHW9Lic=")</f>
        <v>#VALUE!</v>
      </c>
      <c r="AO5" t="e">
        <f>AND('Application, maintenance'!N71,"AAAAAHW9Lig=")</f>
        <v>#VALUE!</v>
      </c>
      <c r="AP5">
        <f>IF('Application, maintenance'!72:72,"AAAAAHW9Lik=",0)</f>
        <v>0</v>
      </c>
      <c r="AQ5" t="e">
        <f>AND('Application, maintenance'!A72,"AAAAAHW9Lio=")</f>
        <v>#VALUE!</v>
      </c>
      <c r="AR5" t="e">
        <f>AND('Application, maintenance'!B72,"AAAAAHW9Lis=")</f>
        <v>#VALUE!</v>
      </c>
      <c r="AS5" t="e">
        <f>AND('Application, maintenance'!C72,"AAAAAHW9Liw=")</f>
        <v>#VALUE!</v>
      </c>
      <c r="AT5" t="e">
        <f>AND('Application, maintenance'!D72,"AAAAAHW9Li0=")</f>
        <v>#VALUE!</v>
      </c>
      <c r="AU5" t="e">
        <f>AND('Application, maintenance'!E72,"AAAAAHW9Li4=")</f>
        <v>#VALUE!</v>
      </c>
      <c r="AV5" t="e">
        <f>AND('Application, maintenance'!F72,"AAAAAHW9Li8=")</f>
        <v>#VALUE!</v>
      </c>
      <c r="AW5" t="e">
        <f>AND('Application, maintenance'!G72,"AAAAAHW9LjA=")</f>
        <v>#VALUE!</v>
      </c>
      <c r="AX5" t="e">
        <f>AND('Application, maintenance'!H72,"AAAAAHW9LjE=")</f>
        <v>#VALUE!</v>
      </c>
      <c r="AY5" t="e">
        <f>AND('Application, maintenance'!I72,"AAAAAHW9LjI=")</f>
        <v>#VALUE!</v>
      </c>
      <c r="AZ5" t="e">
        <f>AND('Application, maintenance'!J72,"AAAAAHW9LjM=")</f>
        <v>#VALUE!</v>
      </c>
      <c r="BA5" t="e">
        <f>AND('Application, maintenance'!K72,"AAAAAHW9LjQ=")</f>
        <v>#VALUE!</v>
      </c>
      <c r="BB5" t="e">
        <f>AND('Application, maintenance'!L72,"AAAAAHW9LjU=")</f>
        <v>#VALUE!</v>
      </c>
      <c r="BC5" t="e">
        <f>AND('Application, maintenance'!M72,"AAAAAHW9LjY=")</f>
        <v>#VALUE!</v>
      </c>
      <c r="BD5" t="e">
        <f>AND('Application, maintenance'!N72,"AAAAAHW9Ljc=")</f>
        <v>#VALUE!</v>
      </c>
      <c r="BE5">
        <f>IF('Application, maintenance'!73:73,"AAAAAHW9Ljg=",0)</f>
        <v>0</v>
      </c>
      <c r="BF5" t="e">
        <f>AND('Application, maintenance'!A73,"AAAAAHW9Ljk=")</f>
        <v>#VALUE!</v>
      </c>
      <c r="BG5" t="e">
        <f>AND('Application, maintenance'!B73,"AAAAAHW9Ljo=")</f>
        <v>#VALUE!</v>
      </c>
      <c r="BH5" t="e">
        <f>AND('Application, maintenance'!C73,"AAAAAHW9Ljs=")</f>
        <v>#VALUE!</v>
      </c>
      <c r="BI5" t="e">
        <f>AND('Application, maintenance'!D73,"AAAAAHW9Ljw=")</f>
        <v>#VALUE!</v>
      </c>
      <c r="BJ5" t="e">
        <f>AND('Application, maintenance'!E73,"AAAAAHW9Lj0=")</f>
        <v>#VALUE!</v>
      </c>
      <c r="BK5" t="e">
        <f>AND('Application, maintenance'!F73,"AAAAAHW9Lj4=")</f>
        <v>#VALUE!</v>
      </c>
      <c r="BL5" t="e">
        <f>AND('Application, maintenance'!G73,"AAAAAHW9Lj8=")</f>
        <v>#VALUE!</v>
      </c>
      <c r="BM5" t="e">
        <f>AND('Application, maintenance'!H73,"AAAAAHW9LkA=")</f>
        <v>#VALUE!</v>
      </c>
      <c r="BN5" t="e">
        <f>AND('Application, maintenance'!I73,"AAAAAHW9LkE=")</f>
        <v>#VALUE!</v>
      </c>
      <c r="BO5" t="e">
        <f>AND('Application, maintenance'!J73,"AAAAAHW9LkI=")</f>
        <v>#VALUE!</v>
      </c>
      <c r="BP5" t="e">
        <f>AND('Application, maintenance'!K73,"AAAAAHW9LkM=")</f>
        <v>#VALUE!</v>
      </c>
      <c r="BQ5" t="e">
        <f>AND('Application, maintenance'!L73,"AAAAAHW9LkQ=")</f>
        <v>#VALUE!</v>
      </c>
      <c r="BR5" t="e">
        <f>AND('Application, maintenance'!M73,"AAAAAHW9LkU=")</f>
        <v>#VALUE!</v>
      </c>
      <c r="BS5" t="e">
        <f>AND('Application, maintenance'!N73,"AAAAAHW9LkY=")</f>
        <v>#VALUE!</v>
      </c>
      <c r="BT5">
        <f>IF('Application, maintenance'!74:74,"AAAAAHW9Lkc=",0)</f>
        <v>0</v>
      </c>
      <c r="BU5" t="e">
        <f>AND('Application, maintenance'!A74,"AAAAAHW9Lkg=")</f>
        <v>#VALUE!</v>
      </c>
      <c r="BV5" t="e">
        <f>AND('Application, maintenance'!B74,"AAAAAHW9Lkk=")</f>
        <v>#VALUE!</v>
      </c>
      <c r="BW5" t="e">
        <f>AND('Application, maintenance'!C74,"AAAAAHW9Lko=")</f>
        <v>#VALUE!</v>
      </c>
      <c r="BX5" t="e">
        <f>AND('Application, maintenance'!D74,"AAAAAHW9Lks=")</f>
        <v>#VALUE!</v>
      </c>
      <c r="BY5" t="e">
        <f>AND('Application, maintenance'!E74,"AAAAAHW9Lkw=")</f>
        <v>#VALUE!</v>
      </c>
      <c r="BZ5" t="e">
        <f>AND('Application, maintenance'!F74,"AAAAAHW9Lk0=")</f>
        <v>#VALUE!</v>
      </c>
      <c r="CA5" t="e">
        <f>AND('Application, maintenance'!G74,"AAAAAHW9Lk4=")</f>
        <v>#VALUE!</v>
      </c>
      <c r="CB5" t="e">
        <f>AND('Application, maintenance'!H74,"AAAAAHW9Lk8=")</f>
        <v>#VALUE!</v>
      </c>
      <c r="CC5" t="e">
        <f>AND('Application, maintenance'!I74,"AAAAAHW9LlA=")</f>
        <v>#VALUE!</v>
      </c>
      <c r="CD5" t="e">
        <f>AND('Application, maintenance'!J74,"AAAAAHW9LlE=")</f>
        <v>#VALUE!</v>
      </c>
      <c r="CE5" t="e">
        <f>AND('Application, maintenance'!K74,"AAAAAHW9LlI=")</f>
        <v>#VALUE!</v>
      </c>
      <c r="CF5" t="e">
        <f>AND('Application, maintenance'!L74,"AAAAAHW9LlM=")</f>
        <v>#VALUE!</v>
      </c>
      <c r="CG5" t="e">
        <f>AND('Application, maintenance'!M74,"AAAAAHW9LlQ=")</f>
        <v>#VALUE!</v>
      </c>
      <c r="CH5" t="e">
        <f>AND('Application, maintenance'!N74,"AAAAAHW9LlU=")</f>
        <v>#VALUE!</v>
      </c>
      <c r="CI5">
        <f>IF('Application, maintenance'!75:75,"AAAAAHW9LlY=",0)</f>
        <v>0</v>
      </c>
      <c r="CJ5" t="e">
        <f>AND('Application, maintenance'!A75,"AAAAAHW9Llc=")</f>
        <v>#VALUE!</v>
      </c>
      <c r="CK5" t="e">
        <f>AND('Application, maintenance'!B75,"AAAAAHW9Llg=")</f>
        <v>#VALUE!</v>
      </c>
      <c r="CL5" t="e">
        <f>AND('Application, maintenance'!C75,"AAAAAHW9Llk=")</f>
        <v>#VALUE!</v>
      </c>
      <c r="CM5" t="e">
        <f>AND('Application, maintenance'!D75,"AAAAAHW9Llo=")</f>
        <v>#VALUE!</v>
      </c>
      <c r="CN5" t="e">
        <f>AND('Application, maintenance'!E75,"AAAAAHW9Lls=")</f>
        <v>#VALUE!</v>
      </c>
      <c r="CO5" t="e">
        <f>AND('Application, maintenance'!F75,"AAAAAHW9Llw=")</f>
        <v>#VALUE!</v>
      </c>
      <c r="CP5" t="e">
        <f>AND('Application, maintenance'!G75,"AAAAAHW9Ll0=")</f>
        <v>#VALUE!</v>
      </c>
      <c r="CQ5" t="e">
        <f>AND('Application, maintenance'!H75,"AAAAAHW9Ll4=")</f>
        <v>#VALUE!</v>
      </c>
      <c r="CR5" t="e">
        <f>AND('Application, maintenance'!I75,"AAAAAHW9Ll8=")</f>
        <v>#VALUE!</v>
      </c>
      <c r="CS5" t="e">
        <f>AND('Application, maintenance'!J75,"AAAAAHW9LmA=")</f>
        <v>#VALUE!</v>
      </c>
      <c r="CT5" t="e">
        <f>AND('Application, maintenance'!K75,"AAAAAHW9LmE=")</f>
        <v>#VALUE!</v>
      </c>
      <c r="CU5" t="e">
        <f>AND('Application, maintenance'!L75,"AAAAAHW9LmI=")</f>
        <v>#VALUE!</v>
      </c>
      <c r="CV5" t="e">
        <f>AND('Application, maintenance'!M75,"AAAAAHW9LmM=")</f>
        <v>#VALUE!</v>
      </c>
      <c r="CW5" t="e">
        <f>AND('Application, maintenance'!N75,"AAAAAHW9LmQ=")</f>
        <v>#VALUE!</v>
      </c>
      <c r="CX5">
        <f>IF('Application, maintenance'!76:76,"AAAAAHW9LmU=",0)</f>
        <v>0</v>
      </c>
      <c r="CY5" t="e">
        <f>AND('Application, maintenance'!A76,"AAAAAHW9LmY=")</f>
        <v>#VALUE!</v>
      </c>
      <c r="CZ5" t="e">
        <f>AND('Application, maintenance'!B76,"AAAAAHW9Lmc=")</f>
        <v>#VALUE!</v>
      </c>
      <c r="DA5" t="e">
        <f>AND('Application, maintenance'!C76,"AAAAAHW9Lmg=")</f>
        <v>#VALUE!</v>
      </c>
      <c r="DB5" t="e">
        <f>AND('Application, maintenance'!D76,"AAAAAHW9Lmk=")</f>
        <v>#VALUE!</v>
      </c>
      <c r="DC5" t="e">
        <f>AND('Application, maintenance'!E76,"AAAAAHW9Lmo=")</f>
        <v>#VALUE!</v>
      </c>
      <c r="DD5" t="e">
        <f>AND('Application, maintenance'!F76,"AAAAAHW9Lms=")</f>
        <v>#VALUE!</v>
      </c>
      <c r="DE5" t="e">
        <f>AND('Application, maintenance'!G76,"AAAAAHW9Lmw=")</f>
        <v>#VALUE!</v>
      </c>
      <c r="DF5" t="e">
        <f>AND('Application, maintenance'!H76,"AAAAAHW9Lm0=")</f>
        <v>#VALUE!</v>
      </c>
      <c r="DG5" t="e">
        <f>AND('Application, maintenance'!I76,"AAAAAHW9Lm4=")</f>
        <v>#VALUE!</v>
      </c>
      <c r="DH5" t="e">
        <f>AND('Application, maintenance'!J76,"AAAAAHW9Lm8=")</f>
        <v>#VALUE!</v>
      </c>
      <c r="DI5" t="e">
        <f>AND('Application, maintenance'!K76,"AAAAAHW9LnA=")</f>
        <v>#VALUE!</v>
      </c>
      <c r="DJ5" t="e">
        <f>AND('Application, maintenance'!L76,"AAAAAHW9LnE=")</f>
        <v>#VALUE!</v>
      </c>
      <c r="DK5" t="e">
        <f>AND('Application, maintenance'!M76,"AAAAAHW9LnI=")</f>
        <v>#VALUE!</v>
      </c>
      <c r="DL5" t="e">
        <f>AND('Application, maintenance'!N76,"AAAAAHW9LnM=")</f>
        <v>#VALUE!</v>
      </c>
      <c r="DM5">
        <f>IF('Application, maintenance'!77:77,"AAAAAHW9LnQ=",0)</f>
        <v>0</v>
      </c>
      <c r="DN5" t="e">
        <f>AND('Application, maintenance'!A77,"AAAAAHW9LnU=")</f>
        <v>#VALUE!</v>
      </c>
      <c r="DO5" t="e">
        <f>AND('Application, maintenance'!B77,"AAAAAHW9LnY=")</f>
        <v>#VALUE!</v>
      </c>
      <c r="DP5" t="e">
        <f>AND('Application, maintenance'!C77,"AAAAAHW9Lnc=")</f>
        <v>#VALUE!</v>
      </c>
      <c r="DQ5" t="e">
        <f>AND('Application, maintenance'!D77,"AAAAAHW9Lng=")</f>
        <v>#VALUE!</v>
      </c>
      <c r="DR5" t="e">
        <f>AND('Application, maintenance'!E77,"AAAAAHW9Lnk=")</f>
        <v>#VALUE!</v>
      </c>
      <c r="DS5" t="e">
        <f>AND('Application, maintenance'!F77,"AAAAAHW9Lno=")</f>
        <v>#VALUE!</v>
      </c>
      <c r="DT5" t="e">
        <f>AND('Application, maintenance'!G77,"AAAAAHW9Lns=")</f>
        <v>#VALUE!</v>
      </c>
      <c r="DU5" t="e">
        <f>AND('Application, maintenance'!H77,"AAAAAHW9Lnw=")</f>
        <v>#VALUE!</v>
      </c>
      <c r="DV5" t="e">
        <f>AND('Application, maintenance'!I77,"AAAAAHW9Ln0=")</f>
        <v>#VALUE!</v>
      </c>
      <c r="DW5" t="e">
        <f>AND('Application, maintenance'!J77,"AAAAAHW9Ln4=")</f>
        <v>#VALUE!</v>
      </c>
      <c r="DX5" t="e">
        <f>AND('Application, maintenance'!K77,"AAAAAHW9Ln8=")</f>
        <v>#VALUE!</v>
      </c>
      <c r="DY5" t="e">
        <f>AND('Application, maintenance'!L77,"AAAAAHW9LoA=")</f>
        <v>#VALUE!</v>
      </c>
      <c r="DZ5" t="e">
        <f>AND('Application, maintenance'!M77,"AAAAAHW9LoE=")</f>
        <v>#VALUE!</v>
      </c>
      <c r="EA5" t="e">
        <f>AND('Application, maintenance'!N77,"AAAAAHW9LoI=")</f>
        <v>#VALUE!</v>
      </c>
      <c r="EB5">
        <f>IF('Application, maintenance'!78:78,"AAAAAHW9LoM=",0)</f>
        <v>0</v>
      </c>
      <c r="EC5" t="e">
        <f>AND('Application, maintenance'!A78,"AAAAAHW9LoQ=")</f>
        <v>#VALUE!</v>
      </c>
      <c r="ED5" t="e">
        <f>AND('Application, maintenance'!B78,"AAAAAHW9LoU=")</f>
        <v>#VALUE!</v>
      </c>
      <c r="EE5" t="e">
        <f>AND('Application, maintenance'!C78,"AAAAAHW9LoY=")</f>
        <v>#VALUE!</v>
      </c>
      <c r="EF5" t="e">
        <f>AND('Application, maintenance'!D78,"AAAAAHW9Loc=")</f>
        <v>#VALUE!</v>
      </c>
      <c r="EG5" t="e">
        <f>AND('Application, maintenance'!E78,"AAAAAHW9Log=")</f>
        <v>#VALUE!</v>
      </c>
      <c r="EH5" t="e">
        <f>AND('Application, maintenance'!F78,"AAAAAHW9Lok=")</f>
        <v>#VALUE!</v>
      </c>
      <c r="EI5" t="e">
        <f>AND('Application, maintenance'!G78,"AAAAAHW9Loo=")</f>
        <v>#VALUE!</v>
      </c>
      <c r="EJ5" t="e">
        <f>AND('Application, maintenance'!H78,"AAAAAHW9Los=")</f>
        <v>#VALUE!</v>
      </c>
      <c r="EK5" t="e">
        <f>AND('Application, maintenance'!I78,"AAAAAHW9Low=")</f>
        <v>#VALUE!</v>
      </c>
      <c r="EL5" t="e">
        <f>AND('Application, maintenance'!J78,"AAAAAHW9Lo0=")</f>
        <v>#VALUE!</v>
      </c>
      <c r="EM5" t="e">
        <f>AND('Application, maintenance'!K78,"AAAAAHW9Lo4=")</f>
        <v>#VALUE!</v>
      </c>
      <c r="EN5" t="e">
        <f>AND('Application, maintenance'!L78,"AAAAAHW9Lo8=")</f>
        <v>#VALUE!</v>
      </c>
      <c r="EO5" t="e">
        <f>AND('Application, maintenance'!M78,"AAAAAHW9LpA=")</f>
        <v>#VALUE!</v>
      </c>
      <c r="EP5" t="e">
        <f>AND('Application, maintenance'!N78,"AAAAAHW9LpE=")</f>
        <v>#VALUE!</v>
      </c>
      <c r="EQ5">
        <f>IF('Application, maintenance'!79:79,"AAAAAHW9LpI=",0)</f>
        <v>0</v>
      </c>
      <c r="ER5" t="e">
        <f>AND('Application, maintenance'!A79,"AAAAAHW9LpM=")</f>
        <v>#VALUE!</v>
      </c>
      <c r="ES5" t="e">
        <f>AND('Application, maintenance'!B79,"AAAAAHW9LpQ=")</f>
        <v>#VALUE!</v>
      </c>
      <c r="ET5" t="e">
        <f>AND('Application, maintenance'!C79,"AAAAAHW9LpU=")</f>
        <v>#VALUE!</v>
      </c>
      <c r="EU5" t="e">
        <f>AND('Application, maintenance'!D79,"AAAAAHW9LpY=")</f>
        <v>#VALUE!</v>
      </c>
      <c r="EV5" t="e">
        <f>AND('Application, maintenance'!E79,"AAAAAHW9Lpc=")</f>
        <v>#VALUE!</v>
      </c>
      <c r="EW5" t="e">
        <f>AND('Application, maintenance'!F79,"AAAAAHW9Lpg=")</f>
        <v>#VALUE!</v>
      </c>
      <c r="EX5" t="e">
        <f>AND('Application, maintenance'!G79,"AAAAAHW9Lpk=")</f>
        <v>#VALUE!</v>
      </c>
      <c r="EY5" t="e">
        <f>AND('Application, maintenance'!H79,"AAAAAHW9Lpo=")</f>
        <v>#VALUE!</v>
      </c>
      <c r="EZ5" t="e">
        <f>AND('Application, maintenance'!I79,"AAAAAHW9Lps=")</f>
        <v>#VALUE!</v>
      </c>
      <c r="FA5" t="e">
        <f>AND('Application, maintenance'!J79,"AAAAAHW9Lpw=")</f>
        <v>#VALUE!</v>
      </c>
      <c r="FB5" t="e">
        <f>AND('Application, maintenance'!K79,"AAAAAHW9Lp0=")</f>
        <v>#VALUE!</v>
      </c>
      <c r="FC5" t="e">
        <f>AND('Application, maintenance'!L79,"AAAAAHW9Lp4=")</f>
        <v>#VALUE!</v>
      </c>
      <c r="FD5" t="e">
        <f>AND('Application, maintenance'!M79,"AAAAAHW9Lp8=")</f>
        <v>#VALUE!</v>
      </c>
      <c r="FE5" t="e">
        <f>AND('Application, maintenance'!N79,"AAAAAHW9LqA=")</f>
        <v>#VALUE!</v>
      </c>
      <c r="FF5">
        <f>IF('Application, maintenance'!80:80,"AAAAAHW9LqE=",0)</f>
        <v>0</v>
      </c>
      <c r="FG5" t="e">
        <f>AND('Application, maintenance'!A80,"AAAAAHW9LqI=")</f>
        <v>#VALUE!</v>
      </c>
      <c r="FH5" t="e">
        <f>AND('Application, maintenance'!B80,"AAAAAHW9LqM=")</f>
        <v>#VALUE!</v>
      </c>
      <c r="FI5" t="e">
        <f>AND('Application, maintenance'!C80,"AAAAAHW9LqQ=")</f>
        <v>#VALUE!</v>
      </c>
      <c r="FJ5" t="e">
        <f>AND('Application, maintenance'!D80,"AAAAAHW9LqU=")</f>
        <v>#VALUE!</v>
      </c>
      <c r="FK5" t="e">
        <f>AND('Application, maintenance'!E80,"AAAAAHW9LqY=")</f>
        <v>#VALUE!</v>
      </c>
      <c r="FL5" t="e">
        <f>AND('Application, maintenance'!F80,"AAAAAHW9Lqc=")</f>
        <v>#VALUE!</v>
      </c>
      <c r="FM5" t="e">
        <f>AND('Application, maintenance'!G80,"AAAAAHW9Lqg=")</f>
        <v>#VALUE!</v>
      </c>
      <c r="FN5" t="e">
        <f>AND('Application, maintenance'!H80,"AAAAAHW9Lqk=")</f>
        <v>#VALUE!</v>
      </c>
      <c r="FO5" t="e">
        <f>AND('Application, maintenance'!I80,"AAAAAHW9Lqo=")</f>
        <v>#VALUE!</v>
      </c>
      <c r="FP5" t="e">
        <f>AND('Application, maintenance'!J80,"AAAAAHW9Lqs=")</f>
        <v>#VALUE!</v>
      </c>
      <c r="FQ5" t="e">
        <f>AND('Application, maintenance'!K80,"AAAAAHW9Lqw=")</f>
        <v>#VALUE!</v>
      </c>
      <c r="FR5" t="e">
        <f>AND('Application, maintenance'!L80,"AAAAAHW9Lq0=")</f>
        <v>#VALUE!</v>
      </c>
      <c r="FS5" t="e">
        <f>AND('Application, maintenance'!M80,"AAAAAHW9Lq4=")</f>
        <v>#VALUE!</v>
      </c>
      <c r="FT5" t="e">
        <f>AND('Application, maintenance'!N80,"AAAAAHW9Lq8=")</f>
        <v>#VALUE!</v>
      </c>
      <c r="FU5">
        <f>IF('Application, maintenance'!81:81,"AAAAAHW9LrA=",0)</f>
        <v>0</v>
      </c>
      <c r="FV5" t="e">
        <f>AND('Application, maintenance'!A81,"AAAAAHW9LrE=")</f>
        <v>#VALUE!</v>
      </c>
      <c r="FW5" t="e">
        <f>AND('Application, maintenance'!B81,"AAAAAHW9LrI=")</f>
        <v>#VALUE!</v>
      </c>
      <c r="FX5" t="e">
        <f>AND('Application, maintenance'!C81,"AAAAAHW9LrM=")</f>
        <v>#VALUE!</v>
      </c>
      <c r="FY5" t="e">
        <f>AND('Application, maintenance'!D81,"AAAAAHW9LrQ=")</f>
        <v>#VALUE!</v>
      </c>
      <c r="FZ5" t="e">
        <f>AND('Application, maintenance'!E81,"AAAAAHW9LrU=")</f>
        <v>#VALUE!</v>
      </c>
      <c r="GA5" t="e">
        <f>AND('Application, maintenance'!F81,"AAAAAHW9LrY=")</f>
        <v>#VALUE!</v>
      </c>
      <c r="GB5" t="e">
        <f>AND('Application, maintenance'!G81,"AAAAAHW9Lrc=")</f>
        <v>#VALUE!</v>
      </c>
      <c r="GC5" t="e">
        <f>AND('Application, maintenance'!H81,"AAAAAHW9Lrg=")</f>
        <v>#VALUE!</v>
      </c>
      <c r="GD5" t="e">
        <f>AND('Application, maintenance'!I81,"AAAAAHW9Lrk=")</f>
        <v>#VALUE!</v>
      </c>
      <c r="GE5" t="e">
        <f>AND('Application, maintenance'!J81,"AAAAAHW9Lro=")</f>
        <v>#VALUE!</v>
      </c>
      <c r="GF5" t="e">
        <f>AND('Application, maintenance'!K81,"AAAAAHW9Lrs=")</f>
        <v>#VALUE!</v>
      </c>
      <c r="GG5" t="e">
        <f>AND('Application, maintenance'!L81,"AAAAAHW9Lrw=")</f>
        <v>#VALUE!</v>
      </c>
      <c r="GH5" t="e">
        <f>AND('Application, maintenance'!M81,"AAAAAHW9Lr0=")</f>
        <v>#VALUE!</v>
      </c>
      <c r="GI5" t="e">
        <f>AND('Application, maintenance'!N81,"AAAAAHW9Lr4=")</f>
        <v>#VALUE!</v>
      </c>
      <c r="GJ5">
        <f>IF('Application, maintenance'!82:82,"AAAAAHW9Lr8=",0)</f>
        <v>0</v>
      </c>
      <c r="GK5" t="e">
        <f>AND('Application, maintenance'!A82,"AAAAAHW9LsA=")</f>
        <v>#VALUE!</v>
      </c>
      <c r="GL5" t="e">
        <f>AND('Application, maintenance'!B82,"AAAAAHW9LsE=")</f>
        <v>#VALUE!</v>
      </c>
      <c r="GM5" t="e">
        <f>AND('Application, maintenance'!C82,"AAAAAHW9LsI=")</f>
        <v>#VALUE!</v>
      </c>
      <c r="GN5" t="e">
        <f>AND('Application, maintenance'!D82,"AAAAAHW9LsM=")</f>
        <v>#VALUE!</v>
      </c>
      <c r="GO5" t="e">
        <f>AND('Application, maintenance'!E82,"AAAAAHW9LsQ=")</f>
        <v>#VALUE!</v>
      </c>
      <c r="GP5" t="e">
        <f>AND('Application, maintenance'!F82,"AAAAAHW9LsU=")</f>
        <v>#VALUE!</v>
      </c>
      <c r="GQ5" t="e">
        <f>AND('Application, maintenance'!G82,"AAAAAHW9LsY=")</f>
        <v>#VALUE!</v>
      </c>
      <c r="GR5" t="e">
        <f>AND('Application, maintenance'!H82,"AAAAAHW9Lsc=")</f>
        <v>#VALUE!</v>
      </c>
      <c r="GS5" t="e">
        <f>AND('Application, maintenance'!I82,"AAAAAHW9Lsg=")</f>
        <v>#VALUE!</v>
      </c>
      <c r="GT5" t="e">
        <f>AND('Application, maintenance'!J82,"AAAAAHW9Lsk=")</f>
        <v>#VALUE!</v>
      </c>
      <c r="GU5" t="e">
        <f>AND('Application, maintenance'!K82,"AAAAAHW9Lso=")</f>
        <v>#VALUE!</v>
      </c>
      <c r="GV5" t="e">
        <f>AND('Application, maintenance'!L82,"AAAAAHW9Lss=")</f>
        <v>#VALUE!</v>
      </c>
      <c r="GW5" t="e">
        <f>AND('Application, maintenance'!M82,"AAAAAHW9Lsw=")</f>
        <v>#VALUE!</v>
      </c>
      <c r="GX5" t="e">
        <f>AND('Application, maintenance'!N82,"AAAAAHW9Ls0=")</f>
        <v>#VALUE!</v>
      </c>
      <c r="GY5">
        <f>IF('Application, maintenance'!83:83,"AAAAAHW9Ls4=",0)</f>
        <v>0</v>
      </c>
      <c r="GZ5" t="e">
        <f>AND('Application, maintenance'!A83,"AAAAAHW9Ls8=")</f>
        <v>#VALUE!</v>
      </c>
      <c r="HA5" t="e">
        <f>AND('Application, maintenance'!B83,"AAAAAHW9LtA=")</f>
        <v>#VALUE!</v>
      </c>
      <c r="HB5" t="e">
        <f>AND('Application, maintenance'!C83,"AAAAAHW9LtE=")</f>
        <v>#VALUE!</v>
      </c>
      <c r="HC5" t="e">
        <f>AND('Application, maintenance'!D83,"AAAAAHW9LtI=")</f>
        <v>#VALUE!</v>
      </c>
      <c r="HD5" t="e">
        <f>AND('Application, maintenance'!E83,"AAAAAHW9LtM=")</f>
        <v>#VALUE!</v>
      </c>
      <c r="HE5" t="e">
        <f>AND('Application, maintenance'!F83,"AAAAAHW9LtQ=")</f>
        <v>#VALUE!</v>
      </c>
      <c r="HF5" t="e">
        <f>AND('Application, maintenance'!G83,"AAAAAHW9LtU=")</f>
        <v>#VALUE!</v>
      </c>
      <c r="HG5" t="e">
        <f>AND('Application, maintenance'!H83,"AAAAAHW9LtY=")</f>
        <v>#VALUE!</v>
      </c>
      <c r="HH5" t="e">
        <f>AND('Application, maintenance'!I83,"AAAAAHW9Ltc=")</f>
        <v>#VALUE!</v>
      </c>
      <c r="HI5" t="e">
        <f>AND('Application, maintenance'!J83,"AAAAAHW9Ltg=")</f>
        <v>#VALUE!</v>
      </c>
      <c r="HJ5" t="e">
        <f>AND('Application, maintenance'!K83,"AAAAAHW9Ltk=")</f>
        <v>#VALUE!</v>
      </c>
      <c r="HK5" t="e">
        <f>AND('Application, maintenance'!L83,"AAAAAHW9Lto=")</f>
        <v>#VALUE!</v>
      </c>
      <c r="HL5" t="e">
        <f>AND('Application, maintenance'!M83,"AAAAAHW9Lts=")</f>
        <v>#VALUE!</v>
      </c>
      <c r="HM5" t="e">
        <f>AND('Application, maintenance'!N83,"AAAAAHW9Ltw=")</f>
        <v>#VALUE!</v>
      </c>
      <c r="HN5">
        <f>IF('Application, maintenance'!84:84,"AAAAAHW9Lt0=",0)</f>
        <v>0</v>
      </c>
      <c r="HO5" t="e">
        <f>AND('Application, maintenance'!A84,"AAAAAHW9Lt4=")</f>
        <v>#VALUE!</v>
      </c>
      <c r="HP5" t="e">
        <f>AND('Application, maintenance'!B84,"AAAAAHW9Lt8=")</f>
        <v>#VALUE!</v>
      </c>
      <c r="HQ5" t="e">
        <f>AND('Application, maintenance'!C84,"AAAAAHW9LuA=")</f>
        <v>#VALUE!</v>
      </c>
      <c r="HR5" t="e">
        <f>AND('Application, maintenance'!D84,"AAAAAHW9LuE=")</f>
        <v>#VALUE!</v>
      </c>
      <c r="HS5" t="e">
        <f>AND('Application, maintenance'!E84,"AAAAAHW9LuI=")</f>
        <v>#VALUE!</v>
      </c>
      <c r="HT5" t="e">
        <f>AND('Application, maintenance'!F84,"AAAAAHW9LuM=")</f>
        <v>#VALUE!</v>
      </c>
      <c r="HU5" t="e">
        <f>AND('Application, maintenance'!G84,"AAAAAHW9LuQ=")</f>
        <v>#VALUE!</v>
      </c>
      <c r="HV5" t="e">
        <f>AND('Application, maintenance'!H84,"AAAAAHW9LuU=")</f>
        <v>#VALUE!</v>
      </c>
      <c r="HW5" t="e">
        <f>AND('Application, maintenance'!I84,"AAAAAHW9LuY=")</f>
        <v>#VALUE!</v>
      </c>
      <c r="HX5" t="e">
        <f>AND('Application, maintenance'!J84,"AAAAAHW9Luc=")</f>
        <v>#VALUE!</v>
      </c>
      <c r="HY5" t="e">
        <f>AND('Application, maintenance'!K84,"AAAAAHW9Lug=")</f>
        <v>#VALUE!</v>
      </c>
      <c r="HZ5" t="e">
        <f>AND('Application, maintenance'!L84,"AAAAAHW9Luk=")</f>
        <v>#VALUE!</v>
      </c>
      <c r="IA5" t="e">
        <f>AND('Application, maintenance'!M84,"AAAAAHW9Luo=")</f>
        <v>#VALUE!</v>
      </c>
      <c r="IB5" t="e">
        <f>AND('Application, maintenance'!N84,"AAAAAHW9Lus=")</f>
        <v>#VALUE!</v>
      </c>
      <c r="IC5">
        <f>IF('Application, maintenance'!85:85,"AAAAAHW9Luw=",0)</f>
        <v>0</v>
      </c>
      <c r="ID5" t="e">
        <f>AND('Application, maintenance'!A85,"AAAAAHW9Lu0=")</f>
        <v>#VALUE!</v>
      </c>
      <c r="IE5" t="e">
        <f>AND('Application, maintenance'!B85,"AAAAAHW9Lu4=")</f>
        <v>#VALUE!</v>
      </c>
      <c r="IF5" t="e">
        <f>AND('Application, maintenance'!C85,"AAAAAHW9Lu8=")</f>
        <v>#VALUE!</v>
      </c>
      <c r="IG5" t="e">
        <f>AND('Application, maintenance'!D85,"AAAAAHW9LvA=")</f>
        <v>#VALUE!</v>
      </c>
      <c r="IH5" t="e">
        <f>AND('Application, maintenance'!E85,"AAAAAHW9LvE=")</f>
        <v>#VALUE!</v>
      </c>
      <c r="II5" t="e">
        <f>AND('Application, maintenance'!F85,"AAAAAHW9LvI=")</f>
        <v>#VALUE!</v>
      </c>
      <c r="IJ5" t="e">
        <f>AND('Application, maintenance'!G85,"AAAAAHW9LvM=")</f>
        <v>#VALUE!</v>
      </c>
      <c r="IK5" t="e">
        <f>AND('Application, maintenance'!H85,"AAAAAHW9LvQ=")</f>
        <v>#VALUE!</v>
      </c>
      <c r="IL5" t="e">
        <f>AND('Application, maintenance'!I85,"AAAAAHW9LvU=")</f>
        <v>#VALUE!</v>
      </c>
      <c r="IM5" t="e">
        <f>AND('Application, maintenance'!J85,"AAAAAHW9LvY=")</f>
        <v>#VALUE!</v>
      </c>
      <c r="IN5" t="e">
        <f>AND('Application, maintenance'!K85,"AAAAAHW9Lvc=")</f>
        <v>#VALUE!</v>
      </c>
      <c r="IO5" t="e">
        <f>AND('Application, maintenance'!L85,"AAAAAHW9Lvg=")</f>
        <v>#VALUE!</v>
      </c>
      <c r="IP5" t="e">
        <f>AND('Application, maintenance'!M85,"AAAAAHW9Lvk=")</f>
        <v>#VALUE!</v>
      </c>
      <c r="IQ5" t="e">
        <f>AND('Application, maintenance'!N85,"AAAAAHW9Lvo=")</f>
        <v>#VALUE!</v>
      </c>
      <c r="IR5">
        <f>IF('Application, maintenance'!86:86,"AAAAAHW9Lvs=",0)</f>
        <v>0</v>
      </c>
      <c r="IS5" t="e">
        <f>AND('Application, maintenance'!A86,"AAAAAHW9Lvw=")</f>
        <v>#VALUE!</v>
      </c>
      <c r="IT5" t="e">
        <f>AND('Application, maintenance'!B86,"AAAAAHW9Lv0=")</f>
        <v>#VALUE!</v>
      </c>
      <c r="IU5" t="e">
        <f>AND('Application, maintenance'!C86,"AAAAAHW9Lv4=")</f>
        <v>#VALUE!</v>
      </c>
      <c r="IV5" t="e">
        <f>AND('Application, maintenance'!D86,"AAAAAHW9Lv8=")</f>
        <v>#VALUE!</v>
      </c>
    </row>
    <row r="6" spans="1:256" ht="12.75">
      <c r="A6" t="e">
        <f>AND('Application, maintenance'!E86,"AAAAAHv/5wA=")</f>
        <v>#VALUE!</v>
      </c>
      <c r="B6" t="e">
        <f>AND('Application, maintenance'!F86,"AAAAAHv/5wE=")</f>
        <v>#VALUE!</v>
      </c>
      <c r="C6" t="e">
        <f>AND('Application, maintenance'!G86,"AAAAAHv/5wI=")</f>
        <v>#VALUE!</v>
      </c>
      <c r="D6" t="e">
        <f>AND('Application, maintenance'!H86,"AAAAAHv/5wM=")</f>
        <v>#VALUE!</v>
      </c>
      <c r="E6" t="e">
        <f>AND('Application, maintenance'!I86,"AAAAAHv/5wQ=")</f>
        <v>#VALUE!</v>
      </c>
      <c r="F6" t="e">
        <f>AND('Application, maintenance'!J86,"AAAAAHv/5wU=")</f>
        <v>#VALUE!</v>
      </c>
      <c r="G6" t="e">
        <f>AND('Application, maintenance'!K86,"AAAAAHv/5wY=")</f>
        <v>#VALUE!</v>
      </c>
      <c r="H6" t="e">
        <f>AND('Application, maintenance'!L86,"AAAAAHv/5wc=")</f>
        <v>#VALUE!</v>
      </c>
      <c r="I6" t="e">
        <f>AND('Application, maintenance'!M86,"AAAAAHv/5wg=")</f>
        <v>#VALUE!</v>
      </c>
      <c r="J6" t="e">
        <f>AND('Application, maintenance'!N86,"AAAAAHv/5wk=")</f>
        <v>#VALUE!</v>
      </c>
      <c r="K6">
        <f>IF('Application, maintenance'!87:87,"AAAAAHv/5wo=",0)</f>
        <v>0</v>
      </c>
      <c r="L6" t="e">
        <f>AND('Application, maintenance'!A87,"AAAAAHv/5ws=")</f>
        <v>#VALUE!</v>
      </c>
      <c r="M6" t="e">
        <f>AND('Application, maintenance'!B87,"AAAAAHv/5ww=")</f>
        <v>#VALUE!</v>
      </c>
      <c r="N6" t="e">
        <f>AND('Application, maintenance'!C87,"AAAAAHv/5w0=")</f>
        <v>#VALUE!</v>
      </c>
      <c r="O6" t="e">
        <f>AND('Application, maintenance'!D87,"AAAAAHv/5w4=")</f>
        <v>#VALUE!</v>
      </c>
      <c r="P6" t="e">
        <f>AND('Application, maintenance'!E87,"AAAAAHv/5w8=")</f>
        <v>#VALUE!</v>
      </c>
      <c r="Q6" t="e">
        <f>AND('Application, maintenance'!F87,"AAAAAHv/5xA=")</f>
        <v>#VALUE!</v>
      </c>
      <c r="R6" t="e">
        <f>AND('Application, maintenance'!G87,"AAAAAHv/5xE=")</f>
        <v>#VALUE!</v>
      </c>
      <c r="S6" t="e">
        <f>AND('Application, maintenance'!H87,"AAAAAHv/5xI=")</f>
        <v>#VALUE!</v>
      </c>
      <c r="T6" t="e">
        <f>AND('Application, maintenance'!I87,"AAAAAHv/5xM=")</f>
        <v>#VALUE!</v>
      </c>
      <c r="U6" t="e">
        <f>AND('Application, maintenance'!J87,"AAAAAHv/5xQ=")</f>
        <v>#VALUE!</v>
      </c>
      <c r="V6" t="e">
        <f>AND('Application, maintenance'!K87,"AAAAAHv/5xU=")</f>
        <v>#VALUE!</v>
      </c>
      <c r="W6" t="e">
        <f>AND('Application, maintenance'!L87,"AAAAAHv/5xY=")</f>
        <v>#VALUE!</v>
      </c>
      <c r="X6" t="e">
        <f>AND('Application, maintenance'!M87,"AAAAAHv/5xc=")</f>
        <v>#VALUE!</v>
      </c>
      <c r="Y6" t="e">
        <f>AND('Application, maintenance'!N87,"AAAAAHv/5xg=")</f>
        <v>#VALUE!</v>
      </c>
      <c r="Z6">
        <f>IF('Application, maintenance'!88:88,"AAAAAHv/5xk=",0)</f>
        <v>0</v>
      </c>
      <c r="AA6" t="e">
        <f>AND('Application, maintenance'!A88,"AAAAAHv/5xo=")</f>
        <v>#VALUE!</v>
      </c>
      <c r="AB6" t="e">
        <f>AND('Application, maintenance'!B88,"AAAAAHv/5xs=")</f>
        <v>#VALUE!</v>
      </c>
      <c r="AC6" t="e">
        <f>AND('Application, maintenance'!C88,"AAAAAHv/5xw=")</f>
        <v>#VALUE!</v>
      </c>
      <c r="AD6" t="e">
        <f>AND('Application, maintenance'!D88,"AAAAAHv/5x0=")</f>
        <v>#VALUE!</v>
      </c>
      <c r="AE6" t="e">
        <f>AND('Application, maintenance'!E88,"AAAAAHv/5x4=")</f>
        <v>#VALUE!</v>
      </c>
      <c r="AF6" t="e">
        <f>AND('Application, maintenance'!F88,"AAAAAHv/5x8=")</f>
        <v>#VALUE!</v>
      </c>
      <c r="AG6" t="e">
        <f>AND('Application, maintenance'!G88,"AAAAAHv/5yA=")</f>
        <v>#VALUE!</v>
      </c>
      <c r="AH6" t="e">
        <f>AND('Application, maintenance'!H88,"AAAAAHv/5yE=")</f>
        <v>#VALUE!</v>
      </c>
      <c r="AI6" t="e">
        <f>AND('Application, maintenance'!I88,"AAAAAHv/5yI=")</f>
        <v>#VALUE!</v>
      </c>
      <c r="AJ6" t="e">
        <f>AND('Application, maintenance'!J88,"AAAAAHv/5yM=")</f>
        <v>#VALUE!</v>
      </c>
      <c r="AK6" t="e">
        <f>AND('Application, maintenance'!K88,"AAAAAHv/5yQ=")</f>
        <v>#VALUE!</v>
      </c>
      <c r="AL6" t="e">
        <f>AND('Application, maintenance'!L88,"AAAAAHv/5yU=")</f>
        <v>#VALUE!</v>
      </c>
      <c r="AM6" t="e">
        <f>AND('Application, maintenance'!M88,"AAAAAHv/5yY=")</f>
        <v>#VALUE!</v>
      </c>
      <c r="AN6" t="e">
        <f>AND('Application, maintenance'!N88,"AAAAAHv/5yc=")</f>
        <v>#VALUE!</v>
      </c>
      <c r="AO6">
        <f>IF('Application, maintenance'!89:89,"AAAAAHv/5yg=",0)</f>
        <v>0</v>
      </c>
      <c r="AP6" t="e">
        <f>AND('Application, maintenance'!A89,"AAAAAHv/5yk=")</f>
        <v>#VALUE!</v>
      </c>
      <c r="AQ6" t="e">
        <f>AND('Application, maintenance'!B89,"AAAAAHv/5yo=")</f>
        <v>#VALUE!</v>
      </c>
      <c r="AR6" t="e">
        <f>AND('Application, maintenance'!C89,"AAAAAHv/5ys=")</f>
        <v>#VALUE!</v>
      </c>
      <c r="AS6" t="e">
        <f>AND('Application, maintenance'!D89,"AAAAAHv/5yw=")</f>
        <v>#VALUE!</v>
      </c>
      <c r="AT6" t="e">
        <f>AND('Application, maintenance'!E89,"AAAAAHv/5y0=")</f>
        <v>#VALUE!</v>
      </c>
      <c r="AU6" t="e">
        <f>AND('Application, maintenance'!F89,"AAAAAHv/5y4=")</f>
        <v>#VALUE!</v>
      </c>
      <c r="AV6" t="e">
        <f>AND('Application, maintenance'!G89,"AAAAAHv/5y8=")</f>
        <v>#VALUE!</v>
      </c>
      <c r="AW6" t="e">
        <f>AND('Application, maintenance'!H89,"AAAAAHv/5zA=")</f>
        <v>#VALUE!</v>
      </c>
      <c r="AX6" t="e">
        <f>AND('Application, maintenance'!I89,"AAAAAHv/5zE=")</f>
        <v>#VALUE!</v>
      </c>
      <c r="AY6" t="e">
        <f>AND('Application, maintenance'!J89,"AAAAAHv/5zI=")</f>
        <v>#VALUE!</v>
      </c>
      <c r="AZ6" t="e">
        <f>AND('Application, maintenance'!K89,"AAAAAHv/5zM=")</f>
        <v>#VALUE!</v>
      </c>
      <c r="BA6" t="e">
        <f>AND('Application, maintenance'!L89,"AAAAAHv/5zQ=")</f>
        <v>#VALUE!</v>
      </c>
      <c r="BB6" t="e">
        <f>AND('Application, maintenance'!M89,"AAAAAHv/5zU=")</f>
        <v>#VALUE!</v>
      </c>
      <c r="BC6" t="e">
        <f>AND('Application, maintenance'!N89,"AAAAAHv/5zY=")</f>
        <v>#VALUE!</v>
      </c>
      <c r="BD6">
        <f>IF('Application, maintenance'!90:90,"AAAAAHv/5zc=",0)</f>
        <v>0</v>
      </c>
      <c r="BE6" t="e">
        <f>AND('Application, maintenance'!A90,"AAAAAHv/5zg=")</f>
        <v>#VALUE!</v>
      </c>
      <c r="BF6" t="e">
        <f>AND('Application, maintenance'!B90,"AAAAAHv/5zk=")</f>
        <v>#VALUE!</v>
      </c>
      <c r="BG6" t="e">
        <f>AND('Application, maintenance'!C90,"AAAAAHv/5zo=")</f>
        <v>#VALUE!</v>
      </c>
      <c r="BH6" t="e">
        <f>AND('Application, maintenance'!D90,"AAAAAHv/5zs=")</f>
        <v>#VALUE!</v>
      </c>
      <c r="BI6" t="e">
        <f>AND('Application, maintenance'!E90,"AAAAAHv/5zw=")</f>
        <v>#VALUE!</v>
      </c>
      <c r="BJ6" t="e">
        <f>AND('Application, maintenance'!F90,"AAAAAHv/5z0=")</f>
        <v>#VALUE!</v>
      </c>
      <c r="BK6" t="e">
        <f>AND('Application, maintenance'!G90,"AAAAAHv/5z4=")</f>
        <v>#VALUE!</v>
      </c>
      <c r="BL6" t="e">
        <f>AND('Application, maintenance'!H90,"AAAAAHv/5z8=")</f>
        <v>#VALUE!</v>
      </c>
      <c r="BM6" t="e">
        <f>AND('Application, maintenance'!I90,"AAAAAHv/50A=")</f>
        <v>#VALUE!</v>
      </c>
      <c r="BN6" t="e">
        <f>AND('Application, maintenance'!J90,"AAAAAHv/50E=")</f>
        <v>#VALUE!</v>
      </c>
      <c r="BO6" t="e">
        <f>AND('Application, maintenance'!K90,"AAAAAHv/50I=")</f>
        <v>#VALUE!</v>
      </c>
      <c r="BP6" t="e">
        <f>AND('Application, maintenance'!L90,"AAAAAHv/50M=")</f>
        <v>#VALUE!</v>
      </c>
      <c r="BQ6" t="e">
        <f>AND('Application, maintenance'!M90,"AAAAAHv/50Q=")</f>
        <v>#VALUE!</v>
      </c>
      <c r="BR6" t="e">
        <f>AND('Application, maintenance'!N90,"AAAAAHv/50U=")</f>
        <v>#VALUE!</v>
      </c>
      <c r="BS6">
        <f>IF('Application, maintenance'!91:91,"AAAAAHv/50Y=",0)</f>
        <v>0</v>
      </c>
      <c r="BT6" t="e">
        <f>AND('Application, maintenance'!A91,"AAAAAHv/50c=")</f>
        <v>#VALUE!</v>
      </c>
      <c r="BU6" t="e">
        <f>AND('Application, maintenance'!B91,"AAAAAHv/50g=")</f>
        <v>#VALUE!</v>
      </c>
      <c r="BV6" t="e">
        <f>AND('Application, maintenance'!C91,"AAAAAHv/50k=")</f>
        <v>#VALUE!</v>
      </c>
      <c r="BW6" t="e">
        <f>AND('Application, maintenance'!D91,"AAAAAHv/50o=")</f>
        <v>#VALUE!</v>
      </c>
      <c r="BX6" t="e">
        <f>AND('Application, maintenance'!E91,"AAAAAHv/50s=")</f>
        <v>#VALUE!</v>
      </c>
      <c r="BY6" t="e">
        <f>AND('Application, maintenance'!F91,"AAAAAHv/50w=")</f>
        <v>#VALUE!</v>
      </c>
      <c r="BZ6" t="e">
        <f>AND('Application, maintenance'!G91,"AAAAAHv/500=")</f>
        <v>#VALUE!</v>
      </c>
      <c r="CA6" t="e">
        <f>AND('Application, maintenance'!H91,"AAAAAHv/504=")</f>
        <v>#VALUE!</v>
      </c>
      <c r="CB6" t="e">
        <f>AND('Application, maintenance'!I91,"AAAAAHv/508=")</f>
        <v>#VALUE!</v>
      </c>
      <c r="CC6" t="e">
        <f>AND('Application, maintenance'!J91,"AAAAAHv/51A=")</f>
        <v>#VALUE!</v>
      </c>
      <c r="CD6" t="e">
        <f>AND('Application, maintenance'!K91,"AAAAAHv/51E=")</f>
        <v>#VALUE!</v>
      </c>
      <c r="CE6" t="e">
        <f>AND('Application, maintenance'!L91,"AAAAAHv/51I=")</f>
        <v>#VALUE!</v>
      </c>
      <c r="CF6" t="e">
        <f>AND('Application, maintenance'!M91,"AAAAAHv/51M=")</f>
        <v>#VALUE!</v>
      </c>
      <c r="CG6" t="e">
        <f>AND('Application, maintenance'!N91,"AAAAAHv/51Q=")</f>
        <v>#VALUE!</v>
      </c>
      <c r="CH6">
        <f>IF('Application, maintenance'!92:92,"AAAAAHv/51U=",0)</f>
        <v>0</v>
      </c>
      <c r="CI6" t="e">
        <f>AND('Application, maintenance'!A92,"AAAAAHv/51Y=")</f>
        <v>#VALUE!</v>
      </c>
      <c r="CJ6" t="e">
        <f>AND('Application, maintenance'!B92,"AAAAAHv/51c=")</f>
        <v>#VALUE!</v>
      </c>
      <c r="CK6" t="e">
        <f>AND('Application, maintenance'!C92,"AAAAAHv/51g=")</f>
        <v>#VALUE!</v>
      </c>
      <c r="CL6" t="e">
        <f>AND('Application, maintenance'!D92,"AAAAAHv/51k=")</f>
        <v>#VALUE!</v>
      </c>
      <c r="CM6" t="e">
        <f>AND('Application, maintenance'!E92,"AAAAAHv/51o=")</f>
        <v>#VALUE!</v>
      </c>
      <c r="CN6" t="e">
        <f>AND('Application, maintenance'!F92,"AAAAAHv/51s=")</f>
        <v>#VALUE!</v>
      </c>
      <c r="CO6" t="e">
        <f>AND('Application, maintenance'!G92,"AAAAAHv/51w=")</f>
        <v>#VALUE!</v>
      </c>
      <c r="CP6" t="e">
        <f>AND('Application, maintenance'!H92,"AAAAAHv/510=")</f>
        <v>#VALUE!</v>
      </c>
      <c r="CQ6" t="e">
        <f>AND('Application, maintenance'!I92,"AAAAAHv/514=")</f>
        <v>#VALUE!</v>
      </c>
      <c r="CR6" t="e">
        <f>AND('Application, maintenance'!J92,"AAAAAHv/518=")</f>
        <v>#VALUE!</v>
      </c>
      <c r="CS6" t="e">
        <f>AND('Application, maintenance'!K92,"AAAAAHv/52A=")</f>
        <v>#VALUE!</v>
      </c>
      <c r="CT6" t="e">
        <f>AND('Application, maintenance'!L92,"AAAAAHv/52E=")</f>
        <v>#VALUE!</v>
      </c>
      <c r="CU6" t="e">
        <f>AND('Application, maintenance'!M92,"AAAAAHv/52I=")</f>
        <v>#VALUE!</v>
      </c>
      <c r="CV6" t="e">
        <f>AND('Application, maintenance'!N92,"AAAAAHv/52M=")</f>
        <v>#VALUE!</v>
      </c>
      <c r="CW6">
        <f>IF('Application, maintenance'!93:93,"AAAAAHv/52Q=",0)</f>
        <v>0</v>
      </c>
      <c r="CX6" t="e">
        <f>AND('Application, maintenance'!A93,"AAAAAHv/52U=")</f>
        <v>#VALUE!</v>
      </c>
      <c r="CY6" t="e">
        <f>AND('Application, maintenance'!B93,"AAAAAHv/52Y=")</f>
        <v>#VALUE!</v>
      </c>
      <c r="CZ6" t="e">
        <f>AND('Application, maintenance'!C93,"AAAAAHv/52c=")</f>
        <v>#VALUE!</v>
      </c>
      <c r="DA6" t="e">
        <f>AND('Application, maintenance'!D93,"AAAAAHv/52g=")</f>
        <v>#VALUE!</v>
      </c>
      <c r="DB6" t="e">
        <f>AND('Application, maintenance'!E93,"AAAAAHv/52k=")</f>
        <v>#VALUE!</v>
      </c>
      <c r="DC6" t="e">
        <f>AND('Application, maintenance'!F93,"AAAAAHv/52o=")</f>
        <v>#VALUE!</v>
      </c>
      <c r="DD6" t="e">
        <f>AND('Application, maintenance'!G93,"AAAAAHv/52s=")</f>
        <v>#VALUE!</v>
      </c>
      <c r="DE6" t="e">
        <f>AND('Application, maintenance'!H93,"AAAAAHv/52w=")</f>
        <v>#VALUE!</v>
      </c>
      <c r="DF6" t="e">
        <f>AND('Application, maintenance'!I93,"AAAAAHv/520=")</f>
        <v>#VALUE!</v>
      </c>
      <c r="DG6" t="e">
        <f>AND('Application, maintenance'!J93,"AAAAAHv/524=")</f>
        <v>#VALUE!</v>
      </c>
      <c r="DH6" t="e">
        <f>AND('Application, maintenance'!K93,"AAAAAHv/528=")</f>
        <v>#VALUE!</v>
      </c>
      <c r="DI6" t="e">
        <f>AND('Application, maintenance'!L93,"AAAAAHv/53A=")</f>
        <v>#VALUE!</v>
      </c>
      <c r="DJ6" t="e">
        <f>AND('Application, maintenance'!M93,"AAAAAHv/53E=")</f>
        <v>#VALUE!</v>
      </c>
      <c r="DK6" t="e">
        <f>AND('Application, maintenance'!N93,"AAAAAHv/53I=")</f>
        <v>#VALUE!</v>
      </c>
      <c r="DL6">
        <f>IF('Application, maintenance'!94:94,"AAAAAHv/53M=",0)</f>
        <v>0</v>
      </c>
      <c r="DM6" t="e">
        <f>AND('Application, maintenance'!A94,"AAAAAHv/53Q=")</f>
        <v>#VALUE!</v>
      </c>
      <c r="DN6" t="e">
        <f>AND('Application, maintenance'!B94,"AAAAAHv/53U=")</f>
        <v>#VALUE!</v>
      </c>
      <c r="DO6" t="e">
        <f>AND('Application, maintenance'!C94,"AAAAAHv/53Y=")</f>
        <v>#VALUE!</v>
      </c>
      <c r="DP6" t="e">
        <f>AND('Application, maintenance'!D94,"AAAAAHv/53c=")</f>
        <v>#VALUE!</v>
      </c>
      <c r="DQ6" t="e">
        <f>AND('Application, maintenance'!E94,"AAAAAHv/53g=")</f>
        <v>#VALUE!</v>
      </c>
      <c r="DR6" t="e">
        <f>AND('Application, maintenance'!F94,"AAAAAHv/53k=")</f>
        <v>#VALUE!</v>
      </c>
      <c r="DS6" t="e">
        <f>AND('Application, maintenance'!G94,"AAAAAHv/53o=")</f>
        <v>#VALUE!</v>
      </c>
      <c r="DT6" t="e">
        <f>AND('Application, maintenance'!H94,"AAAAAHv/53s=")</f>
        <v>#VALUE!</v>
      </c>
      <c r="DU6" t="e">
        <f>AND('Application, maintenance'!I94,"AAAAAHv/53w=")</f>
        <v>#VALUE!</v>
      </c>
      <c r="DV6" t="e">
        <f>AND('Application, maintenance'!J94,"AAAAAHv/530=")</f>
        <v>#VALUE!</v>
      </c>
      <c r="DW6" t="e">
        <f>AND('Application, maintenance'!K94,"AAAAAHv/534=")</f>
        <v>#VALUE!</v>
      </c>
      <c r="DX6" t="e">
        <f>AND('Application, maintenance'!L94,"AAAAAHv/538=")</f>
        <v>#VALUE!</v>
      </c>
      <c r="DY6" t="e">
        <f>AND('Application, maintenance'!M94,"AAAAAHv/54A=")</f>
        <v>#VALUE!</v>
      </c>
      <c r="DZ6" t="e">
        <f>AND('Application, maintenance'!N94,"AAAAAHv/54E=")</f>
        <v>#VALUE!</v>
      </c>
      <c r="EA6">
        <f>IF('Application, maintenance'!95:95,"AAAAAHv/54I=",0)</f>
        <v>0</v>
      </c>
      <c r="EB6" t="e">
        <f>AND('Application, maintenance'!A95,"AAAAAHv/54M=")</f>
        <v>#VALUE!</v>
      </c>
      <c r="EC6" t="e">
        <f>AND('Application, maintenance'!B95,"AAAAAHv/54Q=")</f>
        <v>#VALUE!</v>
      </c>
      <c r="ED6" t="e">
        <f>AND('Application, maintenance'!C95,"AAAAAHv/54U=")</f>
        <v>#VALUE!</v>
      </c>
      <c r="EE6" t="e">
        <f>AND('Application, maintenance'!D95,"AAAAAHv/54Y=")</f>
        <v>#VALUE!</v>
      </c>
      <c r="EF6" t="e">
        <f>AND('Application, maintenance'!E95,"AAAAAHv/54c=")</f>
        <v>#VALUE!</v>
      </c>
      <c r="EG6" t="e">
        <f>AND('Application, maintenance'!F95,"AAAAAHv/54g=")</f>
        <v>#VALUE!</v>
      </c>
      <c r="EH6" t="e">
        <f>AND('Application, maintenance'!G95,"AAAAAHv/54k=")</f>
        <v>#VALUE!</v>
      </c>
      <c r="EI6" t="e">
        <f>AND('Application, maintenance'!H95,"AAAAAHv/54o=")</f>
        <v>#VALUE!</v>
      </c>
      <c r="EJ6" t="e">
        <f>AND('Application, maintenance'!I95,"AAAAAHv/54s=")</f>
        <v>#VALUE!</v>
      </c>
      <c r="EK6" t="e">
        <f>AND('Application, maintenance'!J95,"AAAAAHv/54w=")</f>
        <v>#VALUE!</v>
      </c>
      <c r="EL6" t="e">
        <f>AND('Application, maintenance'!K95,"AAAAAHv/540=")</f>
        <v>#VALUE!</v>
      </c>
      <c r="EM6" t="e">
        <f>AND('Application, maintenance'!L95,"AAAAAHv/544=")</f>
        <v>#VALUE!</v>
      </c>
      <c r="EN6" t="e">
        <f>AND('Application, maintenance'!M95,"AAAAAHv/548=")</f>
        <v>#VALUE!</v>
      </c>
      <c r="EO6" t="e">
        <f>AND('Application, maintenance'!N95,"AAAAAHv/55A=")</f>
        <v>#VALUE!</v>
      </c>
      <c r="EP6">
        <f>IF('Application, maintenance'!96:96,"AAAAAHv/55E=",0)</f>
        <v>0</v>
      </c>
      <c r="EQ6" t="e">
        <f>AND('Application, maintenance'!A96,"AAAAAHv/55I=")</f>
        <v>#VALUE!</v>
      </c>
      <c r="ER6" t="e">
        <f>AND('Application, maintenance'!B96,"AAAAAHv/55M=")</f>
        <v>#VALUE!</v>
      </c>
      <c r="ES6" t="e">
        <f>AND('Application, maintenance'!C96,"AAAAAHv/55Q=")</f>
        <v>#VALUE!</v>
      </c>
      <c r="ET6" t="e">
        <f>AND('Application, maintenance'!D96,"AAAAAHv/55U=")</f>
        <v>#VALUE!</v>
      </c>
      <c r="EU6" t="e">
        <f>AND('Application, maintenance'!E96,"AAAAAHv/55Y=")</f>
        <v>#VALUE!</v>
      </c>
      <c r="EV6" t="e">
        <f>AND('Application, maintenance'!F96,"AAAAAHv/55c=")</f>
        <v>#VALUE!</v>
      </c>
      <c r="EW6" t="e">
        <f>AND('Application, maintenance'!G96,"AAAAAHv/55g=")</f>
        <v>#VALUE!</v>
      </c>
      <c r="EX6" t="e">
        <f>AND('Application, maintenance'!H96,"AAAAAHv/55k=")</f>
        <v>#VALUE!</v>
      </c>
      <c r="EY6" t="e">
        <f>AND('Application, maintenance'!I96,"AAAAAHv/55o=")</f>
        <v>#VALUE!</v>
      </c>
      <c r="EZ6" t="e">
        <f>AND('Application, maintenance'!J96,"AAAAAHv/55s=")</f>
        <v>#VALUE!</v>
      </c>
      <c r="FA6" t="e">
        <f>AND('Application, maintenance'!K96,"AAAAAHv/55w=")</f>
        <v>#VALUE!</v>
      </c>
      <c r="FB6" t="e">
        <f>AND('Application, maintenance'!L96,"AAAAAHv/550=")</f>
        <v>#VALUE!</v>
      </c>
      <c r="FC6" t="e">
        <f>AND('Application, maintenance'!M96,"AAAAAHv/554=")</f>
        <v>#VALUE!</v>
      </c>
      <c r="FD6" t="e">
        <f>AND('Application, maintenance'!N96,"AAAAAHv/558=")</f>
        <v>#VALUE!</v>
      </c>
      <c r="FE6">
        <f>IF('Application, maintenance'!97:97,"AAAAAHv/56A=",0)</f>
        <v>0</v>
      </c>
      <c r="FF6" t="e">
        <f>AND('Application, maintenance'!A97,"AAAAAHv/56E=")</f>
        <v>#VALUE!</v>
      </c>
      <c r="FG6" t="e">
        <f>AND('Application, maintenance'!B97,"AAAAAHv/56I=")</f>
        <v>#VALUE!</v>
      </c>
      <c r="FH6" t="e">
        <f>AND('Application, maintenance'!C97,"AAAAAHv/56M=")</f>
        <v>#VALUE!</v>
      </c>
      <c r="FI6" t="e">
        <f>AND('Application, maintenance'!D97,"AAAAAHv/56Q=")</f>
        <v>#VALUE!</v>
      </c>
      <c r="FJ6" t="e">
        <f>AND('Application, maintenance'!E97,"AAAAAHv/56U=")</f>
        <v>#VALUE!</v>
      </c>
      <c r="FK6" t="e">
        <f>AND('Application, maintenance'!F97,"AAAAAHv/56Y=")</f>
        <v>#VALUE!</v>
      </c>
      <c r="FL6" t="e">
        <f>AND('Application, maintenance'!G97,"AAAAAHv/56c=")</f>
        <v>#VALUE!</v>
      </c>
      <c r="FM6" t="e">
        <f>AND('Application, maintenance'!H97,"AAAAAHv/56g=")</f>
        <v>#VALUE!</v>
      </c>
      <c r="FN6" t="e">
        <f>AND('Application, maintenance'!I97,"AAAAAHv/56k=")</f>
        <v>#VALUE!</v>
      </c>
      <c r="FO6" t="e">
        <f>AND('Application, maintenance'!J97,"AAAAAHv/56o=")</f>
        <v>#VALUE!</v>
      </c>
      <c r="FP6" t="e">
        <f>AND('Application, maintenance'!K97,"AAAAAHv/56s=")</f>
        <v>#VALUE!</v>
      </c>
      <c r="FQ6" t="e">
        <f>AND('Application, maintenance'!L97,"AAAAAHv/56w=")</f>
        <v>#VALUE!</v>
      </c>
      <c r="FR6" t="e">
        <f>AND('Application, maintenance'!M97,"AAAAAHv/560=")</f>
        <v>#VALUE!</v>
      </c>
      <c r="FS6" t="e">
        <f>AND('Application, maintenance'!N97,"AAAAAHv/564=")</f>
        <v>#VALUE!</v>
      </c>
      <c r="FT6">
        <f>IF('Application, maintenance'!98:98,"AAAAAHv/568=",0)</f>
        <v>0</v>
      </c>
      <c r="FU6" t="e">
        <f>AND('Application, maintenance'!A98,"AAAAAHv/57A=")</f>
        <v>#VALUE!</v>
      </c>
      <c r="FV6" t="e">
        <f>AND('Application, maintenance'!B98,"AAAAAHv/57E=")</f>
        <v>#VALUE!</v>
      </c>
      <c r="FW6" t="e">
        <f>AND('Application, maintenance'!C98,"AAAAAHv/57I=")</f>
        <v>#VALUE!</v>
      </c>
      <c r="FX6" t="e">
        <f>AND('Application, maintenance'!D98,"AAAAAHv/57M=")</f>
        <v>#VALUE!</v>
      </c>
      <c r="FY6" t="e">
        <f>AND('Application, maintenance'!E98,"AAAAAHv/57Q=")</f>
        <v>#VALUE!</v>
      </c>
      <c r="FZ6" t="e">
        <f>AND('Application, maintenance'!F98,"AAAAAHv/57U=")</f>
        <v>#VALUE!</v>
      </c>
      <c r="GA6" t="e">
        <f>AND('Application, maintenance'!G98,"AAAAAHv/57Y=")</f>
        <v>#VALUE!</v>
      </c>
      <c r="GB6" t="e">
        <f>AND('Application, maintenance'!H98,"AAAAAHv/57c=")</f>
        <v>#VALUE!</v>
      </c>
      <c r="GC6" t="e">
        <f>AND('Application, maintenance'!I98,"AAAAAHv/57g=")</f>
        <v>#VALUE!</v>
      </c>
      <c r="GD6" t="e">
        <f>AND('Application, maintenance'!J98,"AAAAAHv/57k=")</f>
        <v>#VALUE!</v>
      </c>
      <c r="GE6" t="e">
        <f>AND('Application, maintenance'!K98,"AAAAAHv/57o=")</f>
        <v>#VALUE!</v>
      </c>
      <c r="GF6" t="e">
        <f>AND('Application, maintenance'!L98,"AAAAAHv/57s=")</f>
        <v>#VALUE!</v>
      </c>
      <c r="GG6" t="e">
        <f>AND('Application, maintenance'!M98,"AAAAAHv/57w=")</f>
        <v>#VALUE!</v>
      </c>
      <c r="GH6" t="e">
        <f>AND('Application, maintenance'!N98,"AAAAAHv/570=")</f>
        <v>#VALUE!</v>
      </c>
      <c r="GI6">
        <f>IF('Application, maintenance'!99:99,"AAAAAHv/574=",0)</f>
        <v>0</v>
      </c>
      <c r="GJ6" t="e">
        <f>AND('Application, maintenance'!A99,"AAAAAHv/578=")</f>
        <v>#VALUE!</v>
      </c>
      <c r="GK6" t="e">
        <f>AND('Application, maintenance'!B99,"AAAAAHv/58A=")</f>
        <v>#VALUE!</v>
      </c>
      <c r="GL6" t="e">
        <f>AND('Application, maintenance'!C99,"AAAAAHv/58E=")</f>
        <v>#VALUE!</v>
      </c>
      <c r="GM6" t="e">
        <f>AND('Application, maintenance'!D99,"AAAAAHv/58I=")</f>
        <v>#VALUE!</v>
      </c>
      <c r="GN6" t="e">
        <f>AND('Application, maintenance'!E99,"AAAAAHv/58M=")</f>
        <v>#VALUE!</v>
      </c>
      <c r="GO6" t="e">
        <f>AND('Application, maintenance'!F99,"AAAAAHv/58Q=")</f>
        <v>#VALUE!</v>
      </c>
      <c r="GP6" t="e">
        <f>AND('Application, maintenance'!G99,"AAAAAHv/58U=")</f>
        <v>#VALUE!</v>
      </c>
      <c r="GQ6" t="e">
        <f>AND('Application, maintenance'!H99,"AAAAAHv/58Y=")</f>
        <v>#VALUE!</v>
      </c>
      <c r="GR6" t="e">
        <f>AND('Application, maintenance'!I99,"AAAAAHv/58c=")</f>
        <v>#VALUE!</v>
      </c>
      <c r="GS6" t="e">
        <f>AND('Application, maintenance'!J99,"AAAAAHv/58g=")</f>
        <v>#VALUE!</v>
      </c>
      <c r="GT6" t="e">
        <f>AND('Application, maintenance'!K99,"AAAAAHv/58k=")</f>
        <v>#VALUE!</v>
      </c>
      <c r="GU6" t="e">
        <f>AND('Application, maintenance'!L99,"AAAAAHv/58o=")</f>
        <v>#VALUE!</v>
      </c>
      <c r="GV6" t="e">
        <f>AND('Application, maintenance'!M99,"AAAAAHv/58s=")</f>
        <v>#VALUE!</v>
      </c>
      <c r="GW6" t="e">
        <f>AND('Application, maintenance'!N99,"AAAAAHv/58w=")</f>
        <v>#VALUE!</v>
      </c>
      <c r="GX6">
        <f>IF('Application, maintenance'!100:100,"AAAAAHv/580=",0)</f>
        <v>0</v>
      </c>
      <c r="GY6" t="e">
        <f>AND('Application, maintenance'!A100,"AAAAAHv/584=")</f>
        <v>#VALUE!</v>
      </c>
      <c r="GZ6" t="e">
        <f>AND('Application, maintenance'!B100,"AAAAAHv/588=")</f>
        <v>#VALUE!</v>
      </c>
      <c r="HA6" t="e">
        <f>AND('Application, maintenance'!C100,"AAAAAHv/59A=")</f>
        <v>#VALUE!</v>
      </c>
      <c r="HB6" t="e">
        <f>AND('Application, maintenance'!D100,"AAAAAHv/59E=")</f>
        <v>#VALUE!</v>
      </c>
      <c r="HC6" t="e">
        <f>AND('Application, maintenance'!E100,"AAAAAHv/59I=")</f>
        <v>#VALUE!</v>
      </c>
      <c r="HD6" t="e">
        <f>AND('Application, maintenance'!F100,"AAAAAHv/59M=")</f>
        <v>#VALUE!</v>
      </c>
      <c r="HE6" t="e">
        <f>AND('Application, maintenance'!G100,"AAAAAHv/59Q=")</f>
        <v>#VALUE!</v>
      </c>
      <c r="HF6" t="e">
        <f>AND('Application, maintenance'!H100,"AAAAAHv/59U=")</f>
        <v>#VALUE!</v>
      </c>
      <c r="HG6" t="e">
        <f>AND('Application, maintenance'!I100,"AAAAAHv/59Y=")</f>
        <v>#VALUE!</v>
      </c>
      <c r="HH6" t="e">
        <f>AND('Application, maintenance'!J100,"AAAAAHv/59c=")</f>
        <v>#VALUE!</v>
      </c>
      <c r="HI6" t="e">
        <f>AND('Application, maintenance'!K100,"AAAAAHv/59g=")</f>
        <v>#VALUE!</v>
      </c>
      <c r="HJ6" t="e">
        <f>AND('Application, maintenance'!L100,"AAAAAHv/59k=")</f>
        <v>#VALUE!</v>
      </c>
      <c r="HK6" t="e">
        <f>AND('Application, maintenance'!M100,"AAAAAHv/59o=")</f>
        <v>#VALUE!</v>
      </c>
      <c r="HL6" t="e">
        <f>AND('Application, maintenance'!N100,"AAAAAHv/59s=")</f>
        <v>#VALUE!</v>
      </c>
      <c r="HM6">
        <f>IF('Application, maintenance'!101:101,"AAAAAHv/59w=",0)</f>
        <v>0</v>
      </c>
      <c r="HN6" t="e">
        <f>AND('Application, maintenance'!A101,"AAAAAHv/590=")</f>
        <v>#VALUE!</v>
      </c>
      <c r="HO6" t="e">
        <f>AND('Application, maintenance'!B101,"AAAAAHv/594=")</f>
        <v>#VALUE!</v>
      </c>
      <c r="HP6" t="e">
        <f>AND('Application, maintenance'!C101,"AAAAAHv/598=")</f>
        <v>#VALUE!</v>
      </c>
      <c r="HQ6" t="e">
        <f>AND('Application, maintenance'!D101,"AAAAAHv/5+A=")</f>
        <v>#VALUE!</v>
      </c>
      <c r="HR6" t="e">
        <f>AND('Application, maintenance'!E101,"AAAAAHv/5+E=")</f>
        <v>#VALUE!</v>
      </c>
      <c r="HS6" t="e">
        <f>AND('Application, maintenance'!F101,"AAAAAHv/5+I=")</f>
        <v>#VALUE!</v>
      </c>
      <c r="HT6" t="e">
        <f>AND('Application, maintenance'!G101,"AAAAAHv/5+M=")</f>
        <v>#VALUE!</v>
      </c>
      <c r="HU6" t="e">
        <f>AND('Application, maintenance'!H101,"AAAAAHv/5+Q=")</f>
        <v>#VALUE!</v>
      </c>
      <c r="HV6" t="e">
        <f>AND('Application, maintenance'!I101,"AAAAAHv/5+U=")</f>
        <v>#VALUE!</v>
      </c>
      <c r="HW6" t="e">
        <f>AND('Application, maintenance'!J101,"AAAAAHv/5+Y=")</f>
        <v>#VALUE!</v>
      </c>
      <c r="HX6" t="e">
        <f>AND('Application, maintenance'!K101,"AAAAAHv/5+c=")</f>
        <v>#VALUE!</v>
      </c>
      <c r="HY6" t="e">
        <f>AND('Application, maintenance'!L101,"AAAAAHv/5+g=")</f>
        <v>#VALUE!</v>
      </c>
      <c r="HZ6" t="e">
        <f>AND('Application, maintenance'!M101,"AAAAAHv/5+k=")</f>
        <v>#VALUE!</v>
      </c>
      <c r="IA6" t="e">
        <f>AND('Application, maintenance'!N101,"AAAAAHv/5+o=")</f>
        <v>#VALUE!</v>
      </c>
      <c r="IB6">
        <f>IF('Application, maintenance'!102:102,"AAAAAHv/5+s=",0)</f>
        <v>0</v>
      </c>
      <c r="IC6" t="e">
        <f>AND('Application, maintenance'!A102,"AAAAAHv/5+w=")</f>
        <v>#VALUE!</v>
      </c>
      <c r="ID6" t="e">
        <f>AND('Application, maintenance'!B102,"AAAAAHv/5+0=")</f>
        <v>#VALUE!</v>
      </c>
      <c r="IE6" t="e">
        <f>AND('Application, maintenance'!C102,"AAAAAHv/5+4=")</f>
        <v>#VALUE!</v>
      </c>
      <c r="IF6" t="e">
        <f>AND('Application, maintenance'!D102,"AAAAAHv/5+8=")</f>
        <v>#VALUE!</v>
      </c>
      <c r="IG6" t="e">
        <f>AND('Application, maintenance'!E102,"AAAAAHv/5/A=")</f>
        <v>#VALUE!</v>
      </c>
      <c r="IH6" t="e">
        <f>AND('Application, maintenance'!F102,"AAAAAHv/5/E=")</f>
        <v>#VALUE!</v>
      </c>
      <c r="II6" t="e">
        <f>AND('Application, maintenance'!G102,"AAAAAHv/5/I=")</f>
        <v>#VALUE!</v>
      </c>
      <c r="IJ6" t="e">
        <f>AND('Application, maintenance'!H102,"AAAAAHv/5/M=")</f>
        <v>#VALUE!</v>
      </c>
      <c r="IK6" t="e">
        <f>AND('Application, maintenance'!I102,"AAAAAHv/5/Q=")</f>
        <v>#VALUE!</v>
      </c>
      <c r="IL6" t="e">
        <f>AND('Application, maintenance'!J102,"AAAAAHv/5/U=")</f>
        <v>#VALUE!</v>
      </c>
      <c r="IM6" t="e">
        <f>AND('Application, maintenance'!K102,"AAAAAHv/5/Y=")</f>
        <v>#VALUE!</v>
      </c>
      <c r="IN6" t="e">
        <f>AND('Application, maintenance'!L102,"AAAAAHv/5/c=")</f>
        <v>#VALUE!</v>
      </c>
      <c r="IO6" t="e">
        <f>AND('Application, maintenance'!M102,"AAAAAHv/5/g=")</f>
        <v>#VALUE!</v>
      </c>
      <c r="IP6" t="e">
        <f>AND('Application, maintenance'!N102,"AAAAAHv/5/k=")</f>
        <v>#VALUE!</v>
      </c>
      <c r="IQ6">
        <f>IF('Application, maintenance'!103:103,"AAAAAHv/5/o=",0)</f>
        <v>0</v>
      </c>
      <c r="IR6" t="e">
        <f>AND('Application, maintenance'!A103,"AAAAAHv/5/s=")</f>
        <v>#VALUE!</v>
      </c>
      <c r="IS6" t="e">
        <f>AND('Application, maintenance'!B103,"AAAAAHv/5/w=")</f>
        <v>#VALUE!</v>
      </c>
      <c r="IT6" t="e">
        <f>AND('Application, maintenance'!C103,"AAAAAHv/5/0=")</f>
        <v>#VALUE!</v>
      </c>
      <c r="IU6" t="e">
        <f>AND('Application, maintenance'!D103,"AAAAAHv/5/4=")</f>
        <v>#VALUE!</v>
      </c>
      <c r="IV6" t="e">
        <f>AND('Application, maintenance'!E103,"AAAAAHv/5/8=")</f>
        <v>#VALUE!</v>
      </c>
    </row>
    <row r="7" spans="1:256" ht="12.75">
      <c r="A7" t="e">
        <f>AND('Application, maintenance'!F103,"AAAAAE0rtQA=")</f>
        <v>#VALUE!</v>
      </c>
      <c r="B7" t="e">
        <f>AND('Application, maintenance'!G103,"AAAAAE0rtQE=")</f>
        <v>#VALUE!</v>
      </c>
      <c r="C7" t="e">
        <f>AND('Application, maintenance'!H103,"AAAAAE0rtQI=")</f>
        <v>#VALUE!</v>
      </c>
      <c r="D7" t="e">
        <f>AND('Application, maintenance'!I103,"AAAAAE0rtQM=")</f>
        <v>#VALUE!</v>
      </c>
      <c r="E7" t="e">
        <f>AND('Application, maintenance'!J103,"AAAAAE0rtQQ=")</f>
        <v>#VALUE!</v>
      </c>
      <c r="F7" t="e">
        <f>AND('Application, maintenance'!K103,"AAAAAE0rtQU=")</f>
        <v>#VALUE!</v>
      </c>
      <c r="G7" t="e">
        <f>AND('Application, maintenance'!L103,"AAAAAE0rtQY=")</f>
        <v>#VALUE!</v>
      </c>
      <c r="H7" t="e">
        <f>AND('Application, maintenance'!M103,"AAAAAE0rtQc=")</f>
        <v>#VALUE!</v>
      </c>
      <c r="I7" t="e">
        <f>AND('Application, maintenance'!N103,"AAAAAE0rtQg=")</f>
        <v>#VALUE!</v>
      </c>
      <c r="J7">
        <f>IF('Application, maintenance'!104:104,"AAAAAE0rtQk=",0)</f>
        <v>0</v>
      </c>
      <c r="K7" t="e">
        <f>AND('Application, maintenance'!A104,"AAAAAE0rtQo=")</f>
        <v>#VALUE!</v>
      </c>
      <c r="L7" t="e">
        <f>AND('Application, maintenance'!B104,"AAAAAE0rtQs=")</f>
        <v>#VALUE!</v>
      </c>
      <c r="M7" t="e">
        <f>AND('Application, maintenance'!C104,"AAAAAE0rtQw=")</f>
        <v>#VALUE!</v>
      </c>
      <c r="N7" t="e">
        <f>AND('Application, maintenance'!D104,"AAAAAE0rtQ0=")</f>
        <v>#VALUE!</v>
      </c>
      <c r="O7" t="e">
        <f>AND('Application, maintenance'!E104,"AAAAAE0rtQ4=")</f>
        <v>#VALUE!</v>
      </c>
      <c r="P7" t="e">
        <f>AND('Application, maintenance'!F104,"AAAAAE0rtQ8=")</f>
        <v>#VALUE!</v>
      </c>
      <c r="Q7" t="e">
        <f>AND('Application, maintenance'!G104,"AAAAAE0rtRA=")</f>
        <v>#VALUE!</v>
      </c>
      <c r="R7" t="e">
        <f>AND('Application, maintenance'!H104,"AAAAAE0rtRE=")</f>
        <v>#VALUE!</v>
      </c>
      <c r="S7" t="e">
        <f>AND('Application, maintenance'!I104,"AAAAAE0rtRI=")</f>
        <v>#VALUE!</v>
      </c>
      <c r="T7" t="e">
        <f>AND('Application, maintenance'!J104,"AAAAAE0rtRM=")</f>
        <v>#VALUE!</v>
      </c>
      <c r="U7" t="e">
        <f>AND('Application, maintenance'!K104,"AAAAAE0rtRQ=")</f>
        <v>#VALUE!</v>
      </c>
      <c r="V7" t="e">
        <f>AND('Application, maintenance'!L104,"AAAAAE0rtRU=")</f>
        <v>#VALUE!</v>
      </c>
      <c r="W7" t="e">
        <f>AND('Application, maintenance'!M104,"AAAAAE0rtRY=")</f>
        <v>#VALUE!</v>
      </c>
      <c r="X7" t="e">
        <f>AND('Application, maintenance'!N104,"AAAAAE0rtRc=")</f>
        <v>#VALUE!</v>
      </c>
      <c r="Y7">
        <f>IF('Application, maintenance'!105:105,"AAAAAE0rtRg=",0)</f>
        <v>0</v>
      </c>
      <c r="Z7" t="e">
        <f>AND('Application, maintenance'!A105,"AAAAAE0rtRk=")</f>
        <v>#VALUE!</v>
      </c>
      <c r="AA7" t="e">
        <f>AND('Application, maintenance'!B105,"AAAAAE0rtRo=")</f>
        <v>#VALUE!</v>
      </c>
      <c r="AB7" t="e">
        <f>AND('Application, maintenance'!C105,"AAAAAE0rtRs=")</f>
        <v>#VALUE!</v>
      </c>
      <c r="AC7" t="e">
        <f>AND('Application, maintenance'!D105,"AAAAAE0rtRw=")</f>
        <v>#VALUE!</v>
      </c>
      <c r="AD7" t="e">
        <f>AND('Application, maintenance'!E105,"AAAAAE0rtR0=")</f>
        <v>#VALUE!</v>
      </c>
      <c r="AE7" t="e">
        <f>AND('Application, maintenance'!F105,"AAAAAE0rtR4=")</f>
        <v>#VALUE!</v>
      </c>
      <c r="AF7" t="e">
        <f>AND('Application, maintenance'!G105,"AAAAAE0rtR8=")</f>
        <v>#VALUE!</v>
      </c>
      <c r="AG7" t="e">
        <f>AND('Application, maintenance'!H105,"AAAAAE0rtSA=")</f>
        <v>#VALUE!</v>
      </c>
      <c r="AH7" t="e">
        <f>AND('Application, maintenance'!I105,"AAAAAE0rtSE=")</f>
        <v>#VALUE!</v>
      </c>
      <c r="AI7" t="e">
        <f>AND('Application, maintenance'!J105,"AAAAAE0rtSI=")</f>
        <v>#VALUE!</v>
      </c>
      <c r="AJ7" t="e">
        <f>AND('Application, maintenance'!K105,"AAAAAE0rtSM=")</f>
        <v>#VALUE!</v>
      </c>
      <c r="AK7" t="e">
        <f>AND('Application, maintenance'!L105,"AAAAAE0rtSQ=")</f>
        <v>#VALUE!</v>
      </c>
      <c r="AL7" t="e">
        <f>AND('Application, maintenance'!M105,"AAAAAE0rtSU=")</f>
        <v>#VALUE!</v>
      </c>
      <c r="AM7" t="e">
        <f>AND('Application, maintenance'!N105,"AAAAAE0rtSY=")</f>
        <v>#VALUE!</v>
      </c>
      <c r="AN7">
        <f>IF('Application, maintenance'!106:106,"AAAAAE0rtSc=",0)</f>
        <v>0</v>
      </c>
      <c r="AO7" t="e">
        <f>AND('Application, maintenance'!A106,"AAAAAE0rtSg=")</f>
        <v>#VALUE!</v>
      </c>
      <c r="AP7" t="e">
        <f>AND('Application, maintenance'!B106,"AAAAAE0rtSk=")</f>
        <v>#VALUE!</v>
      </c>
      <c r="AQ7" t="e">
        <f>AND('Application, maintenance'!C106,"AAAAAE0rtSo=")</f>
        <v>#VALUE!</v>
      </c>
      <c r="AR7" t="e">
        <f>AND('Application, maintenance'!D106,"AAAAAE0rtSs=")</f>
        <v>#VALUE!</v>
      </c>
      <c r="AS7" t="e">
        <f>AND('Application, maintenance'!E106,"AAAAAE0rtSw=")</f>
        <v>#VALUE!</v>
      </c>
      <c r="AT7" t="e">
        <f>AND('Application, maintenance'!F106,"AAAAAE0rtS0=")</f>
        <v>#VALUE!</v>
      </c>
      <c r="AU7" t="e">
        <f>AND('Application, maintenance'!G106,"AAAAAE0rtS4=")</f>
        <v>#VALUE!</v>
      </c>
      <c r="AV7" t="e">
        <f>AND('Application, maintenance'!H106,"AAAAAE0rtS8=")</f>
        <v>#VALUE!</v>
      </c>
      <c r="AW7" t="e">
        <f>AND('Application, maintenance'!I106,"AAAAAE0rtTA=")</f>
        <v>#VALUE!</v>
      </c>
      <c r="AX7" t="e">
        <f>AND('Application, maintenance'!J106,"AAAAAE0rtTE=")</f>
        <v>#VALUE!</v>
      </c>
      <c r="AY7" t="e">
        <f>AND('Application, maintenance'!K106,"AAAAAE0rtTI=")</f>
        <v>#VALUE!</v>
      </c>
      <c r="AZ7" t="e">
        <f>AND('Application, maintenance'!L106,"AAAAAE0rtTM=")</f>
        <v>#VALUE!</v>
      </c>
      <c r="BA7" t="e">
        <f>AND('Application, maintenance'!M106,"AAAAAE0rtTQ=")</f>
        <v>#VALUE!</v>
      </c>
      <c r="BB7" t="e">
        <f>AND('Application, maintenance'!N106,"AAAAAE0rtTU=")</f>
        <v>#VALUE!</v>
      </c>
      <c r="BC7">
        <f>IF('Application, maintenance'!107:107,"AAAAAE0rtTY=",0)</f>
        <v>0</v>
      </c>
      <c r="BD7" t="e">
        <f>AND('Application, maintenance'!A107,"AAAAAE0rtTc=")</f>
        <v>#VALUE!</v>
      </c>
      <c r="BE7" t="e">
        <f>AND('Application, maintenance'!B107,"AAAAAE0rtTg=")</f>
        <v>#VALUE!</v>
      </c>
      <c r="BF7" t="e">
        <f>AND('Application, maintenance'!C107,"AAAAAE0rtTk=")</f>
        <v>#VALUE!</v>
      </c>
      <c r="BG7" t="e">
        <f>AND('Application, maintenance'!D107,"AAAAAE0rtTo=")</f>
        <v>#VALUE!</v>
      </c>
      <c r="BH7" t="e">
        <f>AND('Application, maintenance'!E107,"AAAAAE0rtTs=")</f>
        <v>#VALUE!</v>
      </c>
      <c r="BI7" t="e">
        <f>AND('Application, maintenance'!F107,"AAAAAE0rtTw=")</f>
        <v>#VALUE!</v>
      </c>
      <c r="BJ7" t="e">
        <f>AND('Application, maintenance'!G107,"AAAAAE0rtT0=")</f>
        <v>#VALUE!</v>
      </c>
      <c r="BK7" t="e">
        <f>AND('Application, maintenance'!H107,"AAAAAE0rtT4=")</f>
        <v>#VALUE!</v>
      </c>
      <c r="BL7" t="e">
        <f>AND('Application, maintenance'!I107,"AAAAAE0rtT8=")</f>
        <v>#VALUE!</v>
      </c>
      <c r="BM7" t="e">
        <f>AND('Application, maintenance'!J107,"AAAAAE0rtUA=")</f>
        <v>#VALUE!</v>
      </c>
      <c r="BN7" t="e">
        <f>AND('Application, maintenance'!K107,"AAAAAE0rtUE=")</f>
        <v>#VALUE!</v>
      </c>
      <c r="BO7" t="e">
        <f>AND('Application, maintenance'!L107,"AAAAAE0rtUI=")</f>
        <v>#VALUE!</v>
      </c>
      <c r="BP7" t="e">
        <f>AND('Application, maintenance'!M107,"AAAAAE0rtUM=")</f>
        <v>#VALUE!</v>
      </c>
      <c r="BQ7" t="e">
        <f>AND('Application, maintenance'!N107,"AAAAAE0rtUQ=")</f>
        <v>#VALUE!</v>
      </c>
      <c r="BR7">
        <f>IF('Application, maintenance'!108:108,"AAAAAE0rtUU=",0)</f>
        <v>0</v>
      </c>
      <c r="BS7" t="e">
        <f>AND('Application, maintenance'!A108,"AAAAAE0rtUY=")</f>
        <v>#VALUE!</v>
      </c>
      <c r="BT7">
        <f>IF('Application, maintenance'!109:109,"AAAAAE0rtUc=",0)</f>
        <v>0</v>
      </c>
      <c r="BU7" t="e">
        <f>AND('Application, maintenance'!A109,"AAAAAE0rtUg=")</f>
        <v>#VALUE!</v>
      </c>
      <c r="BV7">
        <f>IF('Application, maintenance'!110:110,"AAAAAE0rtUk=",0)</f>
        <v>0</v>
      </c>
      <c r="BW7" t="e">
        <f>AND('Application, maintenance'!A110,"AAAAAE0rtUo=")</f>
        <v>#VALUE!</v>
      </c>
      <c r="BX7">
        <f>IF('Application, maintenance'!111:111,"AAAAAE0rtUs=",0)</f>
        <v>0</v>
      </c>
      <c r="BY7" t="e">
        <f>AND('Application, maintenance'!A111,"AAAAAE0rtUw=")</f>
        <v>#VALUE!</v>
      </c>
      <c r="BZ7">
        <f>IF('Application, maintenance'!112:112,"AAAAAE0rtU0=",0)</f>
        <v>0</v>
      </c>
      <c r="CA7" t="e">
        <f>AND('Application, maintenance'!A112,"AAAAAE0rtU4=")</f>
        <v>#VALUE!</v>
      </c>
      <c r="CB7">
        <f>IF('Application, maintenance'!113:113,"AAAAAE0rtU8=",0)</f>
        <v>0</v>
      </c>
      <c r="CC7" t="e">
        <f>AND('Application, maintenance'!A113,"AAAAAE0rtVA=")</f>
        <v>#VALUE!</v>
      </c>
      <c r="CD7">
        <f>IF('Application, maintenance'!114:114,"AAAAAE0rtVE=",0)</f>
        <v>0</v>
      </c>
      <c r="CE7" t="e">
        <f>AND('Application, maintenance'!A114,"AAAAAE0rtVI=")</f>
        <v>#VALUE!</v>
      </c>
      <c r="CF7">
        <f>IF('Application, maintenance'!115:115,"AAAAAE0rtVM=",0)</f>
        <v>0</v>
      </c>
      <c r="CG7" t="e">
        <f>AND('Application, maintenance'!A115,"AAAAAE0rtVQ=")</f>
        <v>#VALUE!</v>
      </c>
      <c r="CH7">
        <f>IF('Application, maintenance'!116:116,"AAAAAE0rtVU=",0)</f>
        <v>0</v>
      </c>
      <c r="CI7" t="e">
        <f>AND('Application, maintenance'!A116,"AAAAAE0rtVY=")</f>
        <v>#VALUE!</v>
      </c>
      <c r="CJ7">
        <f>IF('Application, maintenance'!117:117,"AAAAAE0rtVc=",0)</f>
        <v>0</v>
      </c>
      <c r="CK7" t="e">
        <f>AND('Application, maintenance'!A117,"AAAAAE0rtVg=")</f>
        <v>#VALUE!</v>
      </c>
      <c r="CL7">
        <f>IF('Application, maintenance'!118:118,"AAAAAE0rtVk=",0)</f>
        <v>0</v>
      </c>
      <c r="CM7" t="e">
        <f>AND('Application, maintenance'!A118,"AAAAAE0rtVo=")</f>
        <v>#VALUE!</v>
      </c>
      <c r="CN7">
        <f>IF('Application, maintenance'!119:119,"AAAAAE0rtVs=",0)</f>
        <v>0</v>
      </c>
      <c r="CO7" t="e">
        <f>AND('Application, maintenance'!A119,"AAAAAE0rtVw=")</f>
        <v>#VALUE!</v>
      </c>
      <c r="CP7">
        <f>IF('Application, maintenance'!120:120,"AAAAAE0rtV0=",0)</f>
        <v>0</v>
      </c>
      <c r="CQ7" t="e">
        <f>AND('Application, maintenance'!A120,"AAAAAE0rtV4=")</f>
        <v>#VALUE!</v>
      </c>
      <c r="CR7">
        <f>IF('Application, maintenance'!121:121,"AAAAAE0rtV8=",0)</f>
        <v>0</v>
      </c>
      <c r="CS7" t="e">
        <f>AND('Application, maintenance'!A121,"AAAAAE0rtWA=")</f>
        <v>#VALUE!</v>
      </c>
      <c r="CT7">
        <f>IF('Application, maintenance'!122:122,"AAAAAE0rtWE=",0)</f>
        <v>0</v>
      </c>
      <c r="CU7" t="e">
        <f>AND('Application, maintenance'!A122,"AAAAAE0rtWI=")</f>
        <v>#VALUE!</v>
      </c>
      <c r="CV7">
        <f>IF('Application, maintenance'!A:A,"AAAAAE0rtWM=",0)</f>
        <v>0</v>
      </c>
      <c r="CW7">
        <f>IF('Application, maintenance'!B:B,"AAAAAE0rtWQ=",0)</f>
        <v>0</v>
      </c>
      <c r="CX7">
        <f>IF('Application, maintenance'!C:C,"AAAAAE0rtWU=",0)</f>
        <v>0</v>
      </c>
      <c r="CY7">
        <f>IF('Application, maintenance'!D:D,"AAAAAE0rtWY=",0)</f>
        <v>0</v>
      </c>
      <c r="CZ7">
        <f>IF('Application, maintenance'!E:E,"AAAAAE0rtWc=",0)</f>
        <v>0</v>
      </c>
      <c r="DA7">
        <f>IF('Application, maintenance'!F:F,"AAAAAE0rtWg=",0)</f>
        <v>0</v>
      </c>
      <c r="DB7">
        <f>IF('Application, maintenance'!G:G,"AAAAAE0rtWk=",0)</f>
        <v>0</v>
      </c>
      <c r="DC7">
        <f>IF('Application, maintenance'!H:H,"AAAAAE0rtWo=",0)</f>
        <v>0</v>
      </c>
      <c r="DD7">
        <f>IF('Application, maintenance'!I:I,"AAAAAE0rtWs=",0)</f>
        <v>0</v>
      </c>
      <c r="DE7">
        <f>IF('Application, maintenance'!J:J,"AAAAAE0rtWw=",0)</f>
        <v>0</v>
      </c>
      <c r="DF7">
        <f>IF('Application, maintenance'!K:K,"AAAAAE0rtW0=",0)</f>
        <v>0</v>
      </c>
      <c r="DG7">
        <f>IF('Application, maintenance'!L:L,"AAAAAE0rtW4=",0)</f>
        <v>0</v>
      </c>
      <c r="DH7">
        <f>IF('Application, maintenance'!M:M,"AAAAAE0rtW8=",0)</f>
        <v>0</v>
      </c>
      <c r="DI7">
        <f>IF('Application, maintenance'!N:N,"AAAAAE0rtXA=",0)</f>
        <v>0</v>
      </c>
      <c r="DJ7">
        <f>IF('Application, cook'!1:1,"AAAAAE0rtXE=",0)</f>
        <v>0</v>
      </c>
      <c r="DK7" t="e">
        <f>AND('Application, cook'!A1,"AAAAAE0rtXI=")</f>
        <v>#VALUE!</v>
      </c>
      <c r="DL7" t="e">
        <f>AND('Application, cook'!B1,"AAAAAE0rtXM=")</f>
        <v>#VALUE!</v>
      </c>
      <c r="DM7" t="e">
        <f>AND('Application, cook'!C1,"AAAAAE0rtXQ=")</f>
        <v>#VALUE!</v>
      </c>
      <c r="DN7" t="e">
        <f>AND('Application, cook'!D1,"AAAAAE0rtXU=")</f>
        <v>#VALUE!</v>
      </c>
      <c r="DO7" t="e">
        <f>AND('Application, cook'!E1,"AAAAAE0rtXY=")</f>
        <v>#VALUE!</v>
      </c>
      <c r="DP7" t="e">
        <f>AND('Application, cook'!F1,"AAAAAE0rtXc=")</f>
        <v>#VALUE!</v>
      </c>
      <c r="DQ7" t="e">
        <f>AND('Application, cook'!G1,"AAAAAE0rtXg=")</f>
        <v>#VALUE!</v>
      </c>
      <c r="DR7" t="e">
        <f>AND('Application, cook'!H1,"AAAAAE0rtXk=")</f>
        <v>#VALUE!</v>
      </c>
      <c r="DS7" t="e">
        <f>AND('Application, cook'!I1,"AAAAAE0rtXo=")</f>
        <v>#VALUE!</v>
      </c>
      <c r="DT7" t="e">
        <f>AND('Application, cook'!J1,"AAAAAE0rtXs=")</f>
        <v>#VALUE!</v>
      </c>
      <c r="DU7" t="e">
        <f>AND('Application, cook'!K1,"AAAAAE0rtXw=")</f>
        <v>#VALUE!</v>
      </c>
      <c r="DV7" t="e">
        <f>AND('Application, cook'!L1,"AAAAAE0rtX0=")</f>
        <v>#VALUE!</v>
      </c>
      <c r="DW7" t="e">
        <f>AND('Application, cook'!M1,"AAAAAE0rtX4=")</f>
        <v>#VALUE!</v>
      </c>
      <c r="DX7" t="e">
        <f>AND('Application, cook'!N1,"AAAAAE0rtX8=")</f>
        <v>#VALUE!</v>
      </c>
      <c r="DY7">
        <f>IF('Application, cook'!2:2,"AAAAAE0rtYA=",0)</f>
        <v>0</v>
      </c>
      <c r="DZ7" t="e">
        <f>AND('Application, cook'!A2,"AAAAAE0rtYE=")</f>
        <v>#VALUE!</v>
      </c>
      <c r="EA7" t="e">
        <f>AND('Application, cook'!B2,"AAAAAE0rtYI=")</f>
        <v>#VALUE!</v>
      </c>
      <c r="EB7" t="e">
        <f>AND('Application, cook'!C2,"AAAAAE0rtYM=")</f>
        <v>#VALUE!</v>
      </c>
      <c r="EC7" t="e">
        <f>AND('Application, cook'!D2,"AAAAAE0rtYQ=")</f>
        <v>#VALUE!</v>
      </c>
      <c r="ED7" t="e">
        <f>AND('Application, cook'!E2,"AAAAAE0rtYU=")</f>
        <v>#VALUE!</v>
      </c>
      <c r="EE7" t="e">
        <f>AND('Application, cook'!F2,"AAAAAE0rtYY=")</f>
        <v>#VALUE!</v>
      </c>
      <c r="EF7" t="e">
        <f>AND('Application, cook'!G2,"AAAAAE0rtYc=")</f>
        <v>#VALUE!</v>
      </c>
      <c r="EG7" t="e">
        <f>AND('Application, cook'!H2,"AAAAAE0rtYg=")</f>
        <v>#VALUE!</v>
      </c>
      <c r="EH7" t="e">
        <f>AND('Application, cook'!I2,"AAAAAE0rtYk=")</f>
        <v>#VALUE!</v>
      </c>
      <c r="EI7" t="e">
        <f>AND('Application, cook'!J2,"AAAAAE0rtYo=")</f>
        <v>#VALUE!</v>
      </c>
      <c r="EJ7" t="e">
        <f>AND('Application, cook'!K2,"AAAAAE0rtYs=")</f>
        <v>#VALUE!</v>
      </c>
      <c r="EK7" t="e">
        <f>AND('Application, cook'!L2,"AAAAAE0rtYw=")</f>
        <v>#VALUE!</v>
      </c>
      <c r="EL7" t="e">
        <f>AND('Application, cook'!M2,"AAAAAE0rtY0=")</f>
        <v>#VALUE!</v>
      </c>
      <c r="EM7" t="e">
        <f>AND('Application, cook'!N2,"AAAAAE0rtY4=")</f>
        <v>#VALUE!</v>
      </c>
      <c r="EN7">
        <f>IF('Application, cook'!3:3,"AAAAAE0rtY8=",0)</f>
        <v>0</v>
      </c>
      <c r="EO7" t="e">
        <f>AND('Application, cook'!A3,"AAAAAE0rtZA=")</f>
        <v>#VALUE!</v>
      </c>
      <c r="EP7" t="e">
        <f>AND('Application, cook'!B3,"AAAAAE0rtZE=")</f>
        <v>#VALUE!</v>
      </c>
      <c r="EQ7" t="e">
        <f>AND('Application, cook'!C3,"AAAAAE0rtZI=")</f>
        <v>#VALUE!</v>
      </c>
      <c r="ER7" t="e">
        <f>AND('Application, cook'!D3,"AAAAAE0rtZM=")</f>
        <v>#VALUE!</v>
      </c>
      <c r="ES7" t="e">
        <f>AND('Application, cook'!E3,"AAAAAE0rtZQ=")</f>
        <v>#VALUE!</v>
      </c>
      <c r="ET7" t="e">
        <f>AND('Application, cook'!F3,"AAAAAE0rtZU=")</f>
        <v>#VALUE!</v>
      </c>
      <c r="EU7" t="e">
        <f>AND('Application, cook'!G3,"AAAAAE0rtZY=")</f>
        <v>#VALUE!</v>
      </c>
      <c r="EV7" t="e">
        <f>AND('Application, cook'!H3,"AAAAAE0rtZc=")</f>
        <v>#VALUE!</v>
      </c>
      <c r="EW7" t="e">
        <f>AND('Application, cook'!I3,"AAAAAE0rtZg=")</f>
        <v>#VALUE!</v>
      </c>
      <c r="EX7" t="e">
        <f>AND('Application, cook'!J3,"AAAAAE0rtZk=")</f>
        <v>#VALUE!</v>
      </c>
      <c r="EY7" t="e">
        <f>AND('Application, cook'!K3,"AAAAAE0rtZo=")</f>
        <v>#VALUE!</v>
      </c>
      <c r="EZ7" t="e">
        <f>AND('Application, cook'!L3,"AAAAAE0rtZs=")</f>
        <v>#VALUE!</v>
      </c>
      <c r="FA7" t="e">
        <f>AND('Application, cook'!M3,"AAAAAE0rtZw=")</f>
        <v>#VALUE!</v>
      </c>
      <c r="FB7" t="e">
        <f>AND('Application, cook'!N3,"AAAAAE0rtZ0=")</f>
        <v>#VALUE!</v>
      </c>
      <c r="FC7">
        <f>IF('Application, cook'!4:4,"AAAAAE0rtZ4=",0)</f>
        <v>0</v>
      </c>
      <c r="FD7" t="e">
        <f>AND('Application, cook'!A4,"AAAAAE0rtZ8=")</f>
        <v>#VALUE!</v>
      </c>
      <c r="FE7" t="e">
        <f>AND('Application, cook'!B4,"AAAAAE0rtaA=")</f>
        <v>#VALUE!</v>
      </c>
      <c r="FF7" t="e">
        <f>AND('Application, cook'!C4,"AAAAAE0rtaE=")</f>
        <v>#VALUE!</v>
      </c>
      <c r="FG7" t="e">
        <f>AND('Application, cook'!D4,"AAAAAE0rtaI=")</f>
        <v>#VALUE!</v>
      </c>
      <c r="FH7" t="e">
        <f>AND('Application, cook'!E4,"AAAAAE0rtaM=")</f>
        <v>#VALUE!</v>
      </c>
      <c r="FI7" t="e">
        <f>AND('Application, cook'!F4,"AAAAAE0rtaQ=")</f>
        <v>#VALUE!</v>
      </c>
      <c r="FJ7" t="e">
        <f>AND('Application, cook'!G4,"AAAAAE0rtaU=")</f>
        <v>#VALUE!</v>
      </c>
      <c r="FK7" t="e">
        <f>AND('Application, cook'!H4,"AAAAAE0rtaY=")</f>
        <v>#VALUE!</v>
      </c>
      <c r="FL7" t="e">
        <f>AND('Application, cook'!I4,"AAAAAE0rtac=")</f>
        <v>#VALUE!</v>
      </c>
      <c r="FM7" t="e">
        <f>AND('Application, cook'!J4,"AAAAAE0rtag=")</f>
        <v>#VALUE!</v>
      </c>
      <c r="FN7" t="e">
        <f>AND('Application, cook'!K4,"AAAAAE0rtak=")</f>
        <v>#VALUE!</v>
      </c>
      <c r="FO7" t="e">
        <f>AND('Application, cook'!L4,"AAAAAE0rtao=")</f>
        <v>#VALUE!</v>
      </c>
      <c r="FP7" t="e">
        <f>AND('Application, cook'!M4,"AAAAAE0rtas=")</f>
        <v>#VALUE!</v>
      </c>
      <c r="FQ7" t="e">
        <f>AND('Application, cook'!N4,"AAAAAE0rtaw=")</f>
        <v>#VALUE!</v>
      </c>
      <c r="FR7">
        <f>IF('Application, cook'!5:5,"AAAAAE0rta0=",0)</f>
        <v>0</v>
      </c>
      <c r="FS7" t="e">
        <f>AND('Application, cook'!A5,"AAAAAE0rta4=")</f>
        <v>#VALUE!</v>
      </c>
      <c r="FT7" t="e">
        <f>AND('Application, cook'!B5,"AAAAAE0rta8=")</f>
        <v>#VALUE!</v>
      </c>
      <c r="FU7" t="e">
        <f>AND('Application, cook'!C5,"AAAAAE0rtbA=")</f>
        <v>#VALUE!</v>
      </c>
      <c r="FV7" t="e">
        <f>AND('Application, cook'!D5,"AAAAAE0rtbE=")</f>
        <v>#VALUE!</v>
      </c>
      <c r="FW7" t="e">
        <f>AND('Application, cook'!E5,"AAAAAE0rtbI=")</f>
        <v>#VALUE!</v>
      </c>
      <c r="FX7" t="e">
        <f>AND('Application, cook'!F5,"AAAAAE0rtbM=")</f>
        <v>#VALUE!</v>
      </c>
      <c r="FY7" t="e">
        <f>AND('Application, cook'!G5,"AAAAAE0rtbQ=")</f>
        <v>#VALUE!</v>
      </c>
      <c r="FZ7" t="e">
        <f>AND('Application, cook'!H5,"AAAAAE0rtbU=")</f>
        <v>#VALUE!</v>
      </c>
      <c r="GA7" t="e">
        <f>AND('Application, cook'!I5,"AAAAAE0rtbY=")</f>
        <v>#VALUE!</v>
      </c>
      <c r="GB7" t="e">
        <f>AND('Application, cook'!J5,"AAAAAE0rtbc=")</f>
        <v>#VALUE!</v>
      </c>
      <c r="GC7" t="e">
        <f>AND('Application, cook'!K5,"AAAAAE0rtbg=")</f>
        <v>#VALUE!</v>
      </c>
      <c r="GD7" t="e">
        <f>AND('Application, cook'!L5,"AAAAAE0rtbk=")</f>
        <v>#VALUE!</v>
      </c>
      <c r="GE7" t="e">
        <f>AND('Application, cook'!M5,"AAAAAE0rtbo=")</f>
        <v>#VALUE!</v>
      </c>
      <c r="GF7" t="e">
        <f>AND('Application, cook'!N5,"AAAAAE0rtbs=")</f>
        <v>#VALUE!</v>
      </c>
      <c r="GG7">
        <f>IF('Application, cook'!6:6,"AAAAAE0rtbw=",0)</f>
        <v>0</v>
      </c>
      <c r="GH7" t="e">
        <f>AND('Application, cook'!A6,"AAAAAE0rtb0=")</f>
        <v>#VALUE!</v>
      </c>
      <c r="GI7" t="e">
        <f>AND('Application, cook'!B6,"AAAAAE0rtb4=")</f>
        <v>#VALUE!</v>
      </c>
      <c r="GJ7" t="e">
        <f>AND('Application, cook'!C6,"AAAAAE0rtb8=")</f>
        <v>#VALUE!</v>
      </c>
      <c r="GK7" t="e">
        <f>AND('Application, cook'!D6,"AAAAAE0rtcA=")</f>
        <v>#VALUE!</v>
      </c>
      <c r="GL7" t="e">
        <f>AND('Application, cook'!E6,"AAAAAE0rtcE=")</f>
        <v>#VALUE!</v>
      </c>
      <c r="GM7" t="e">
        <f>AND('Application, cook'!F6,"AAAAAE0rtcI=")</f>
        <v>#VALUE!</v>
      </c>
      <c r="GN7" t="e">
        <f>AND('Application, cook'!G6,"AAAAAE0rtcM=")</f>
        <v>#VALUE!</v>
      </c>
      <c r="GO7" t="e">
        <f>AND('Application, cook'!H6,"AAAAAE0rtcQ=")</f>
        <v>#VALUE!</v>
      </c>
      <c r="GP7" t="e">
        <f>AND('Application, cook'!I6,"AAAAAE0rtcU=")</f>
        <v>#VALUE!</v>
      </c>
      <c r="GQ7" t="e">
        <f>AND('Application, cook'!J6,"AAAAAE0rtcY=")</f>
        <v>#VALUE!</v>
      </c>
      <c r="GR7" t="e">
        <f>AND('Application, cook'!K6,"AAAAAE0rtcc=")</f>
        <v>#VALUE!</v>
      </c>
      <c r="GS7" t="e">
        <f>AND('Application, cook'!L6,"AAAAAE0rtcg=")</f>
        <v>#VALUE!</v>
      </c>
      <c r="GT7" t="e">
        <f>AND('Application, cook'!M6,"AAAAAE0rtck=")</f>
        <v>#VALUE!</v>
      </c>
      <c r="GU7" t="e">
        <f>AND('Application, cook'!N6,"AAAAAE0rtco=")</f>
        <v>#VALUE!</v>
      </c>
      <c r="GV7">
        <f>IF('Application, cook'!7:7,"AAAAAE0rtcs=",0)</f>
        <v>0</v>
      </c>
      <c r="GW7" t="e">
        <f>AND('Application, cook'!A7,"AAAAAE0rtcw=")</f>
        <v>#VALUE!</v>
      </c>
      <c r="GX7" t="e">
        <f>AND('Application, cook'!B7,"AAAAAE0rtc0=")</f>
        <v>#VALUE!</v>
      </c>
      <c r="GY7" t="e">
        <f>AND('Application, cook'!C7,"AAAAAE0rtc4=")</f>
        <v>#VALUE!</v>
      </c>
      <c r="GZ7" t="e">
        <f>AND('Application, cook'!D7,"AAAAAE0rtc8=")</f>
        <v>#VALUE!</v>
      </c>
      <c r="HA7" t="e">
        <f>AND('Application, cook'!E7,"AAAAAE0rtdA=")</f>
        <v>#VALUE!</v>
      </c>
      <c r="HB7" t="e">
        <f>AND('Application, cook'!F7,"AAAAAE0rtdE=")</f>
        <v>#VALUE!</v>
      </c>
      <c r="HC7" t="e">
        <f>AND('Application, cook'!G7,"AAAAAE0rtdI=")</f>
        <v>#VALUE!</v>
      </c>
      <c r="HD7" t="e">
        <f>AND('Application, cook'!H7,"AAAAAE0rtdM=")</f>
        <v>#VALUE!</v>
      </c>
      <c r="HE7" t="e">
        <f>AND('Application, cook'!I7,"AAAAAE0rtdQ=")</f>
        <v>#VALUE!</v>
      </c>
      <c r="HF7" t="e">
        <f>AND('Application, cook'!J7,"AAAAAE0rtdU=")</f>
        <v>#VALUE!</v>
      </c>
      <c r="HG7" t="e">
        <f>AND('Application, cook'!K7,"AAAAAE0rtdY=")</f>
        <v>#VALUE!</v>
      </c>
      <c r="HH7" t="e">
        <f>AND('Application, cook'!L7,"AAAAAE0rtdc=")</f>
        <v>#VALUE!</v>
      </c>
      <c r="HI7" t="e">
        <f>AND('Application, cook'!M7,"AAAAAE0rtdg=")</f>
        <v>#VALUE!</v>
      </c>
      <c r="HJ7" t="e">
        <f>AND('Application, cook'!N7,"AAAAAE0rtdk=")</f>
        <v>#VALUE!</v>
      </c>
      <c r="HK7">
        <f>IF('Application, cook'!8:8,"AAAAAE0rtdo=",0)</f>
        <v>0</v>
      </c>
      <c r="HL7" t="e">
        <f>AND('Application, cook'!A8,"AAAAAE0rtds=")</f>
        <v>#VALUE!</v>
      </c>
      <c r="HM7" t="e">
        <f>AND('Application, cook'!B8,"AAAAAE0rtdw=")</f>
        <v>#VALUE!</v>
      </c>
      <c r="HN7" t="e">
        <f>AND('Application, cook'!C8,"AAAAAE0rtd0=")</f>
        <v>#VALUE!</v>
      </c>
      <c r="HO7" t="e">
        <f>AND('Application, cook'!D8,"AAAAAE0rtd4=")</f>
        <v>#VALUE!</v>
      </c>
      <c r="HP7" t="e">
        <f>AND('Application, cook'!E8,"AAAAAE0rtd8=")</f>
        <v>#VALUE!</v>
      </c>
      <c r="HQ7" t="e">
        <f>AND('Application, cook'!F8,"AAAAAE0rteA=")</f>
        <v>#VALUE!</v>
      </c>
      <c r="HR7" t="e">
        <f>AND('Application, cook'!G8,"AAAAAE0rteE=")</f>
        <v>#VALUE!</v>
      </c>
      <c r="HS7" t="e">
        <f>AND('Application, cook'!H8,"AAAAAE0rteI=")</f>
        <v>#VALUE!</v>
      </c>
      <c r="HT7" t="e">
        <f>AND('Application, cook'!I8,"AAAAAE0rteM=")</f>
        <v>#VALUE!</v>
      </c>
      <c r="HU7" t="e">
        <f>AND('Application, cook'!J8,"AAAAAE0rteQ=")</f>
        <v>#VALUE!</v>
      </c>
      <c r="HV7" t="e">
        <f>AND('Application, cook'!K8,"AAAAAE0rteU=")</f>
        <v>#VALUE!</v>
      </c>
      <c r="HW7" t="e">
        <f>AND('Application, cook'!L8,"AAAAAE0rteY=")</f>
        <v>#VALUE!</v>
      </c>
      <c r="HX7" t="e">
        <f>AND('Application, cook'!M8,"AAAAAE0rtec=")</f>
        <v>#VALUE!</v>
      </c>
      <c r="HY7" t="e">
        <f>AND('Application, cook'!N8,"AAAAAE0rteg=")</f>
        <v>#VALUE!</v>
      </c>
      <c r="HZ7">
        <f>IF('Application, cook'!9:9,"AAAAAE0rtek=",0)</f>
        <v>0</v>
      </c>
      <c r="IA7" t="e">
        <f>AND('Application, cook'!A9,"AAAAAE0rteo=")</f>
        <v>#VALUE!</v>
      </c>
      <c r="IB7" t="e">
        <f>AND('Application, cook'!B9,"AAAAAE0rtes=")</f>
        <v>#VALUE!</v>
      </c>
      <c r="IC7" t="e">
        <f>AND('Application, cook'!C9,"AAAAAE0rtew=")</f>
        <v>#VALUE!</v>
      </c>
      <c r="ID7" t="e">
        <f>AND('Application, cook'!D9,"AAAAAE0rte0=")</f>
        <v>#VALUE!</v>
      </c>
      <c r="IE7" t="e">
        <f>AND('Application, cook'!E9,"AAAAAE0rte4=")</f>
        <v>#VALUE!</v>
      </c>
      <c r="IF7" t="e">
        <f>AND('Application, cook'!F9,"AAAAAE0rte8=")</f>
        <v>#VALUE!</v>
      </c>
      <c r="IG7" t="e">
        <f>AND('Application, cook'!G9,"AAAAAE0rtfA=")</f>
        <v>#VALUE!</v>
      </c>
      <c r="IH7" t="e">
        <f>AND('Application, cook'!H9,"AAAAAE0rtfE=")</f>
        <v>#VALUE!</v>
      </c>
      <c r="II7" t="e">
        <f>AND('Application, cook'!I9,"AAAAAE0rtfI=")</f>
        <v>#VALUE!</v>
      </c>
      <c r="IJ7" t="e">
        <f>AND('Application, cook'!J9,"AAAAAE0rtfM=")</f>
        <v>#VALUE!</v>
      </c>
      <c r="IK7" t="e">
        <f>AND('Application, cook'!K9,"AAAAAE0rtfQ=")</f>
        <v>#VALUE!</v>
      </c>
      <c r="IL7" t="e">
        <f>AND('Application, cook'!L9,"AAAAAE0rtfU=")</f>
        <v>#VALUE!</v>
      </c>
      <c r="IM7" t="e">
        <f>AND('Application, cook'!M9,"AAAAAE0rtfY=")</f>
        <v>#VALUE!</v>
      </c>
      <c r="IN7" t="e">
        <f>AND('Application, cook'!N9,"AAAAAE0rtfc=")</f>
        <v>#VALUE!</v>
      </c>
      <c r="IO7">
        <f>IF('Application, cook'!10:10,"AAAAAE0rtfg=",0)</f>
        <v>0</v>
      </c>
      <c r="IP7" t="e">
        <f>AND('Application, cook'!A10,"AAAAAE0rtfk=")</f>
        <v>#VALUE!</v>
      </c>
      <c r="IQ7" t="e">
        <f>AND('Application, cook'!B10,"AAAAAE0rtfo=")</f>
        <v>#VALUE!</v>
      </c>
      <c r="IR7" t="e">
        <f>AND('Application, cook'!C10,"AAAAAE0rtfs=")</f>
        <v>#VALUE!</v>
      </c>
      <c r="IS7" t="e">
        <f>AND('Application, cook'!D10,"AAAAAE0rtfw=")</f>
        <v>#VALUE!</v>
      </c>
      <c r="IT7" t="e">
        <f>AND('Application, cook'!E10,"AAAAAE0rtf0=")</f>
        <v>#VALUE!</v>
      </c>
      <c r="IU7" t="e">
        <f>AND('Application, cook'!F10,"AAAAAE0rtf4=")</f>
        <v>#VALUE!</v>
      </c>
      <c r="IV7" t="e">
        <f>AND('Application, cook'!G10,"AAAAAE0rtf8=")</f>
        <v>#VALUE!</v>
      </c>
    </row>
    <row r="8" spans="1:256" ht="12.75">
      <c r="A8" t="e">
        <f>AND('Application, cook'!H10,"AAAAABWWJQA=")</f>
        <v>#VALUE!</v>
      </c>
      <c r="B8" t="e">
        <f>AND('Application, cook'!I10,"AAAAABWWJQE=")</f>
        <v>#VALUE!</v>
      </c>
      <c r="C8" t="e">
        <f>AND('Application, cook'!J10,"AAAAABWWJQI=")</f>
        <v>#VALUE!</v>
      </c>
      <c r="D8" t="e">
        <f>AND('Application, cook'!K10,"AAAAABWWJQM=")</f>
        <v>#VALUE!</v>
      </c>
      <c r="E8" t="e">
        <f>AND('Application, cook'!L10,"AAAAABWWJQQ=")</f>
        <v>#VALUE!</v>
      </c>
      <c r="F8" t="e">
        <f>AND('Application, cook'!M10,"AAAAABWWJQU=")</f>
        <v>#VALUE!</v>
      </c>
      <c r="G8" t="e">
        <f>AND('Application, cook'!N10,"AAAAABWWJQY=")</f>
        <v>#VALUE!</v>
      </c>
      <c r="H8">
        <f>IF('Application, cook'!11:11,"AAAAABWWJQc=",0)</f>
        <v>0</v>
      </c>
      <c r="I8" t="e">
        <f>AND('Application, cook'!A11,"AAAAABWWJQg=")</f>
        <v>#VALUE!</v>
      </c>
      <c r="J8" t="e">
        <f>AND('Application, cook'!B11,"AAAAABWWJQk=")</f>
        <v>#VALUE!</v>
      </c>
      <c r="K8" t="e">
        <f>AND('Application, cook'!C11,"AAAAABWWJQo=")</f>
        <v>#VALUE!</v>
      </c>
      <c r="L8" t="e">
        <f>AND('Application, cook'!D11,"AAAAABWWJQs=")</f>
        <v>#VALUE!</v>
      </c>
      <c r="M8" t="e">
        <f>AND('Application, cook'!E11,"AAAAABWWJQw=")</f>
        <v>#VALUE!</v>
      </c>
      <c r="N8" t="e">
        <f>AND('Application, cook'!F11,"AAAAABWWJQ0=")</f>
        <v>#VALUE!</v>
      </c>
      <c r="O8" t="e">
        <f>AND('Application, cook'!G11,"AAAAABWWJQ4=")</f>
        <v>#VALUE!</v>
      </c>
      <c r="P8" t="e">
        <f>AND('Application, cook'!H11,"AAAAABWWJQ8=")</f>
        <v>#VALUE!</v>
      </c>
      <c r="Q8" t="e">
        <f>AND('Application, cook'!I11,"AAAAABWWJRA=")</f>
        <v>#VALUE!</v>
      </c>
      <c r="R8" t="e">
        <f>AND('Application, cook'!J11,"AAAAABWWJRE=")</f>
        <v>#VALUE!</v>
      </c>
      <c r="S8" t="e">
        <f>AND('Application, cook'!K11,"AAAAABWWJRI=")</f>
        <v>#VALUE!</v>
      </c>
      <c r="T8" t="e">
        <f>AND('Application, cook'!L11,"AAAAABWWJRM=")</f>
        <v>#VALUE!</v>
      </c>
      <c r="U8" t="e">
        <f>AND('Application, cook'!M11,"AAAAABWWJRQ=")</f>
        <v>#VALUE!</v>
      </c>
      <c r="V8" t="e">
        <f>AND('Application, cook'!N11,"AAAAABWWJRU=")</f>
        <v>#VALUE!</v>
      </c>
      <c r="W8">
        <f>IF('Application, cook'!12:12,"AAAAABWWJRY=",0)</f>
        <v>0</v>
      </c>
      <c r="X8" t="e">
        <f>AND('Application, cook'!A12,"AAAAABWWJRc=")</f>
        <v>#VALUE!</v>
      </c>
      <c r="Y8" t="e">
        <f>AND('Application, cook'!B12,"AAAAABWWJRg=")</f>
        <v>#VALUE!</v>
      </c>
      <c r="Z8" t="e">
        <f>AND('Application, cook'!C12,"AAAAABWWJRk=")</f>
        <v>#VALUE!</v>
      </c>
      <c r="AA8" t="e">
        <f>AND('Application, cook'!D12,"AAAAABWWJRo=")</f>
        <v>#VALUE!</v>
      </c>
      <c r="AB8" t="e">
        <f>AND('Application, cook'!E12,"AAAAABWWJRs=")</f>
        <v>#VALUE!</v>
      </c>
      <c r="AC8" t="e">
        <f>AND('Application, cook'!F12,"AAAAABWWJRw=")</f>
        <v>#VALUE!</v>
      </c>
      <c r="AD8" t="e">
        <f>AND('Application, cook'!G12,"AAAAABWWJR0=")</f>
        <v>#VALUE!</v>
      </c>
      <c r="AE8" t="e">
        <f>AND('Application, cook'!H12,"AAAAABWWJR4=")</f>
        <v>#VALUE!</v>
      </c>
      <c r="AF8" t="e">
        <f>AND('Application, cook'!I12,"AAAAABWWJR8=")</f>
        <v>#VALUE!</v>
      </c>
      <c r="AG8" t="e">
        <f>AND('Application, cook'!J12,"AAAAABWWJSA=")</f>
        <v>#VALUE!</v>
      </c>
      <c r="AH8" t="e">
        <f>AND('Application, cook'!K12,"AAAAABWWJSE=")</f>
        <v>#VALUE!</v>
      </c>
      <c r="AI8" t="e">
        <f>AND('Application, cook'!L12,"AAAAABWWJSI=")</f>
        <v>#VALUE!</v>
      </c>
      <c r="AJ8" t="e">
        <f>AND('Application, cook'!M12,"AAAAABWWJSM=")</f>
        <v>#VALUE!</v>
      </c>
      <c r="AK8" t="e">
        <f>AND('Application, cook'!N12,"AAAAABWWJSQ=")</f>
        <v>#VALUE!</v>
      </c>
      <c r="AL8">
        <f>IF('Application, cook'!13:13,"AAAAABWWJSU=",0)</f>
        <v>0</v>
      </c>
      <c r="AM8" t="e">
        <f>AND('Application, cook'!A13,"AAAAABWWJSY=")</f>
        <v>#VALUE!</v>
      </c>
      <c r="AN8" t="e">
        <f>AND('Application, cook'!B13,"AAAAABWWJSc=")</f>
        <v>#VALUE!</v>
      </c>
      <c r="AO8" t="e">
        <f>AND('Application, cook'!C13,"AAAAABWWJSg=")</f>
        <v>#VALUE!</v>
      </c>
      <c r="AP8" t="e">
        <f>AND('Application, cook'!D13,"AAAAABWWJSk=")</f>
        <v>#VALUE!</v>
      </c>
      <c r="AQ8" t="e">
        <f>AND('Application, cook'!E13,"AAAAABWWJSo=")</f>
        <v>#VALUE!</v>
      </c>
      <c r="AR8" t="e">
        <f>AND('Application, cook'!F13,"AAAAABWWJSs=")</f>
        <v>#VALUE!</v>
      </c>
      <c r="AS8" t="e">
        <f>AND('Application, cook'!G13,"AAAAABWWJSw=")</f>
        <v>#VALUE!</v>
      </c>
      <c r="AT8" t="e">
        <f>AND('Application, cook'!H13,"AAAAABWWJS0=")</f>
        <v>#VALUE!</v>
      </c>
      <c r="AU8" t="e">
        <f>AND('Application, cook'!I13,"AAAAABWWJS4=")</f>
        <v>#VALUE!</v>
      </c>
      <c r="AV8" t="e">
        <f>AND('Application, cook'!J13,"AAAAABWWJS8=")</f>
        <v>#VALUE!</v>
      </c>
      <c r="AW8" t="e">
        <f>AND('Application, cook'!K13,"AAAAABWWJTA=")</f>
        <v>#VALUE!</v>
      </c>
      <c r="AX8" t="e">
        <f>AND('Application, cook'!L13,"AAAAABWWJTE=")</f>
        <v>#VALUE!</v>
      </c>
      <c r="AY8" t="e">
        <f>AND('Application, cook'!M13,"AAAAABWWJTI=")</f>
        <v>#VALUE!</v>
      </c>
      <c r="AZ8" t="e">
        <f>AND('Application, cook'!N13,"AAAAABWWJTM=")</f>
        <v>#VALUE!</v>
      </c>
      <c r="BA8">
        <f>IF('Application, cook'!14:14,"AAAAABWWJTQ=",0)</f>
        <v>0</v>
      </c>
      <c r="BB8" t="e">
        <f>AND('Application, cook'!A14,"AAAAABWWJTU=")</f>
        <v>#VALUE!</v>
      </c>
      <c r="BC8" t="e">
        <f>AND('Application, cook'!B14,"AAAAABWWJTY=")</f>
        <v>#VALUE!</v>
      </c>
      <c r="BD8" t="e">
        <f>AND('Application, cook'!C14,"AAAAABWWJTc=")</f>
        <v>#VALUE!</v>
      </c>
      <c r="BE8" t="e">
        <f>AND('Application, cook'!D14,"AAAAABWWJTg=")</f>
        <v>#VALUE!</v>
      </c>
      <c r="BF8" t="e">
        <f>AND('Application, cook'!E14,"AAAAABWWJTk=")</f>
        <v>#VALUE!</v>
      </c>
      <c r="BG8" t="e">
        <f>AND('Application, cook'!F14,"AAAAABWWJTo=")</f>
        <v>#VALUE!</v>
      </c>
      <c r="BH8" t="e">
        <f>AND('Application, cook'!G14,"AAAAABWWJTs=")</f>
        <v>#VALUE!</v>
      </c>
      <c r="BI8" t="e">
        <f>AND('Application, cook'!H14,"AAAAABWWJTw=")</f>
        <v>#VALUE!</v>
      </c>
      <c r="BJ8" t="e">
        <f>AND('Application, cook'!I14,"AAAAABWWJT0=")</f>
        <v>#VALUE!</v>
      </c>
      <c r="BK8" t="e">
        <f>AND('Application, cook'!J14,"AAAAABWWJT4=")</f>
        <v>#VALUE!</v>
      </c>
      <c r="BL8" t="e">
        <f>AND('Application, cook'!K14,"AAAAABWWJT8=")</f>
        <v>#VALUE!</v>
      </c>
      <c r="BM8" t="e">
        <f>AND('Application, cook'!L14,"AAAAABWWJUA=")</f>
        <v>#VALUE!</v>
      </c>
      <c r="BN8" t="e">
        <f>AND('Application, cook'!M14,"AAAAABWWJUE=")</f>
        <v>#VALUE!</v>
      </c>
      <c r="BO8" t="e">
        <f>AND('Application, cook'!N14,"AAAAABWWJUI=")</f>
        <v>#VALUE!</v>
      </c>
      <c r="BP8">
        <f>IF('Application, cook'!15:15,"AAAAABWWJUM=",0)</f>
        <v>0</v>
      </c>
      <c r="BQ8" t="e">
        <f>AND('Application, cook'!A15,"AAAAABWWJUQ=")</f>
        <v>#VALUE!</v>
      </c>
      <c r="BR8" t="e">
        <f>AND('Application, cook'!B15,"AAAAABWWJUU=")</f>
        <v>#VALUE!</v>
      </c>
      <c r="BS8" t="e">
        <f>AND('Application, cook'!C15,"AAAAABWWJUY=")</f>
        <v>#VALUE!</v>
      </c>
      <c r="BT8" t="e">
        <f>AND('Application, cook'!D15,"AAAAABWWJUc=")</f>
        <v>#VALUE!</v>
      </c>
      <c r="BU8" t="e">
        <f>AND('Application, cook'!E15,"AAAAABWWJUg=")</f>
        <v>#VALUE!</v>
      </c>
      <c r="BV8" t="e">
        <f>AND('Application, cook'!F15,"AAAAABWWJUk=")</f>
        <v>#VALUE!</v>
      </c>
      <c r="BW8" t="e">
        <f>AND('Application, cook'!G15,"AAAAABWWJUo=")</f>
        <v>#VALUE!</v>
      </c>
      <c r="BX8" t="e">
        <f>AND('Application, cook'!H15,"AAAAABWWJUs=")</f>
        <v>#VALUE!</v>
      </c>
      <c r="BY8" t="e">
        <f>AND('Application, cook'!I15,"AAAAABWWJUw=")</f>
        <v>#VALUE!</v>
      </c>
      <c r="BZ8" t="e">
        <f>AND('Application, cook'!J15,"AAAAABWWJU0=")</f>
        <v>#VALUE!</v>
      </c>
      <c r="CA8" t="e">
        <f>AND('Application, cook'!K15,"AAAAABWWJU4=")</f>
        <v>#VALUE!</v>
      </c>
      <c r="CB8" t="e">
        <f>AND('Application, cook'!L15,"AAAAABWWJU8=")</f>
        <v>#VALUE!</v>
      </c>
      <c r="CC8" t="e">
        <f>AND('Application, cook'!M15,"AAAAABWWJVA=")</f>
        <v>#VALUE!</v>
      </c>
      <c r="CD8" t="e">
        <f>AND('Application, cook'!N15,"AAAAABWWJVE=")</f>
        <v>#VALUE!</v>
      </c>
      <c r="CE8">
        <f>IF('Application, cook'!16:16,"AAAAABWWJVI=",0)</f>
        <v>0</v>
      </c>
      <c r="CF8" t="e">
        <f>AND('Application, cook'!A16,"AAAAABWWJVM=")</f>
        <v>#VALUE!</v>
      </c>
      <c r="CG8" t="e">
        <f>AND('Application, cook'!B16,"AAAAABWWJVQ=")</f>
        <v>#VALUE!</v>
      </c>
      <c r="CH8" t="e">
        <f>AND('Application, cook'!C16,"AAAAABWWJVU=")</f>
        <v>#VALUE!</v>
      </c>
      <c r="CI8" t="e">
        <f>AND('Application, cook'!D16,"AAAAABWWJVY=")</f>
        <v>#VALUE!</v>
      </c>
      <c r="CJ8" t="e">
        <f>AND('Application, cook'!E16,"AAAAABWWJVc=")</f>
        <v>#VALUE!</v>
      </c>
      <c r="CK8" t="e">
        <f>AND('Application, cook'!F16,"AAAAABWWJVg=")</f>
        <v>#VALUE!</v>
      </c>
      <c r="CL8" t="e">
        <f>AND('Application, cook'!G16,"AAAAABWWJVk=")</f>
        <v>#VALUE!</v>
      </c>
      <c r="CM8" t="e">
        <f>AND('Application, cook'!H16,"AAAAABWWJVo=")</f>
        <v>#VALUE!</v>
      </c>
      <c r="CN8" t="e">
        <f>AND('Application, cook'!I16,"AAAAABWWJVs=")</f>
        <v>#VALUE!</v>
      </c>
      <c r="CO8" t="e">
        <f>AND('Application, cook'!J16,"AAAAABWWJVw=")</f>
        <v>#VALUE!</v>
      </c>
      <c r="CP8" t="e">
        <f>AND('Application, cook'!K16,"AAAAABWWJV0=")</f>
        <v>#VALUE!</v>
      </c>
      <c r="CQ8" t="e">
        <f>AND('Application, cook'!L16,"AAAAABWWJV4=")</f>
        <v>#VALUE!</v>
      </c>
      <c r="CR8" t="e">
        <f>AND('Application, cook'!M16,"AAAAABWWJV8=")</f>
        <v>#VALUE!</v>
      </c>
      <c r="CS8" t="e">
        <f>AND('Application, cook'!N16,"AAAAABWWJWA=")</f>
        <v>#VALUE!</v>
      </c>
      <c r="CT8">
        <f>IF('Application, cook'!17:17,"AAAAABWWJWE=",0)</f>
        <v>0</v>
      </c>
      <c r="CU8" t="e">
        <f>AND('Application, cook'!A17,"AAAAABWWJWI=")</f>
        <v>#VALUE!</v>
      </c>
      <c r="CV8" t="e">
        <f>AND('Application, cook'!B17,"AAAAABWWJWM=")</f>
        <v>#VALUE!</v>
      </c>
      <c r="CW8" t="e">
        <f>AND('Application, cook'!C17,"AAAAABWWJWQ=")</f>
        <v>#VALUE!</v>
      </c>
      <c r="CX8" t="e">
        <f>AND('Application, cook'!D17,"AAAAABWWJWU=")</f>
        <v>#VALUE!</v>
      </c>
      <c r="CY8" t="e">
        <f>AND('Application, cook'!E17,"AAAAABWWJWY=")</f>
        <v>#VALUE!</v>
      </c>
      <c r="CZ8" t="e">
        <f>AND('Application, cook'!F17,"AAAAABWWJWc=")</f>
        <v>#VALUE!</v>
      </c>
      <c r="DA8" t="e">
        <f>AND('Application, cook'!G17,"AAAAABWWJWg=")</f>
        <v>#VALUE!</v>
      </c>
      <c r="DB8" t="e">
        <f>AND('Application, cook'!H17,"AAAAABWWJWk=")</f>
        <v>#VALUE!</v>
      </c>
      <c r="DC8" t="e">
        <f>AND('Application, cook'!I17,"AAAAABWWJWo=")</f>
        <v>#VALUE!</v>
      </c>
      <c r="DD8" t="e">
        <f>AND('Application, cook'!J17,"AAAAABWWJWs=")</f>
        <v>#VALUE!</v>
      </c>
      <c r="DE8" t="e">
        <f>AND('Application, cook'!K17,"AAAAABWWJWw=")</f>
        <v>#VALUE!</v>
      </c>
      <c r="DF8" t="e">
        <f>AND('Application, cook'!L17,"AAAAABWWJW0=")</f>
        <v>#VALUE!</v>
      </c>
      <c r="DG8" t="e">
        <f>AND('Application, cook'!M17,"AAAAABWWJW4=")</f>
        <v>#VALUE!</v>
      </c>
      <c r="DH8" t="e">
        <f>AND('Application, cook'!N17,"AAAAABWWJW8=")</f>
        <v>#VALUE!</v>
      </c>
      <c r="DI8">
        <f>IF('Application, cook'!18:18,"AAAAABWWJXA=",0)</f>
        <v>0</v>
      </c>
      <c r="DJ8" t="e">
        <f>AND('Application, cook'!A18,"AAAAABWWJXE=")</f>
        <v>#VALUE!</v>
      </c>
      <c r="DK8" t="e">
        <f>AND('Application, cook'!B18,"AAAAABWWJXI=")</f>
        <v>#VALUE!</v>
      </c>
      <c r="DL8" t="e">
        <f>AND('Application, cook'!C18,"AAAAABWWJXM=")</f>
        <v>#VALUE!</v>
      </c>
      <c r="DM8" t="e">
        <f>AND('Application, cook'!D18,"AAAAABWWJXQ=")</f>
        <v>#VALUE!</v>
      </c>
      <c r="DN8" t="e">
        <f>AND('Application, cook'!E18,"AAAAABWWJXU=")</f>
        <v>#VALUE!</v>
      </c>
      <c r="DO8" t="e">
        <f>AND('Application, cook'!F18,"AAAAABWWJXY=")</f>
        <v>#VALUE!</v>
      </c>
      <c r="DP8" t="e">
        <f>AND('Application, cook'!G18,"AAAAABWWJXc=")</f>
        <v>#VALUE!</v>
      </c>
      <c r="DQ8" t="e">
        <f>AND('Application, cook'!H18,"AAAAABWWJXg=")</f>
        <v>#VALUE!</v>
      </c>
      <c r="DR8" t="e">
        <f>AND('Application, cook'!I18,"AAAAABWWJXk=")</f>
        <v>#VALUE!</v>
      </c>
      <c r="DS8" t="e">
        <f>AND('Application, cook'!J18,"AAAAABWWJXo=")</f>
        <v>#VALUE!</v>
      </c>
      <c r="DT8" t="e">
        <f>AND('Application, cook'!K18,"AAAAABWWJXs=")</f>
        <v>#VALUE!</v>
      </c>
      <c r="DU8" t="e">
        <f>AND('Application, cook'!L18,"AAAAABWWJXw=")</f>
        <v>#VALUE!</v>
      </c>
      <c r="DV8" t="e">
        <f>AND('Application, cook'!M18,"AAAAABWWJX0=")</f>
        <v>#VALUE!</v>
      </c>
      <c r="DW8" t="e">
        <f>AND('Application, cook'!N18,"AAAAABWWJX4=")</f>
        <v>#VALUE!</v>
      </c>
      <c r="DX8">
        <f>IF('Application, cook'!19:19,"AAAAABWWJX8=",0)</f>
        <v>0</v>
      </c>
      <c r="DY8" t="e">
        <f>AND('Application, cook'!A19,"AAAAABWWJYA=")</f>
        <v>#VALUE!</v>
      </c>
      <c r="DZ8" t="e">
        <f>AND('Application, cook'!B19,"AAAAABWWJYE=")</f>
        <v>#VALUE!</v>
      </c>
      <c r="EA8" t="e">
        <f>AND('Application, cook'!C19,"AAAAABWWJYI=")</f>
        <v>#VALUE!</v>
      </c>
      <c r="EB8" t="e">
        <f>AND('Application, cook'!D19,"AAAAABWWJYM=")</f>
        <v>#VALUE!</v>
      </c>
      <c r="EC8" t="e">
        <f>AND('Application, cook'!E19,"AAAAABWWJYQ=")</f>
        <v>#VALUE!</v>
      </c>
      <c r="ED8" t="e">
        <f>AND('Application, cook'!F19,"AAAAABWWJYU=")</f>
        <v>#VALUE!</v>
      </c>
      <c r="EE8" t="e">
        <f>AND('Application, cook'!G19,"AAAAABWWJYY=")</f>
        <v>#VALUE!</v>
      </c>
      <c r="EF8" t="e">
        <f>AND('Application, cook'!H19,"AAAAABWWJYc=")</f>
        <v>#VALUE!</v>
      </c>
      <c r="EG8" t="e">
        <f>AND('Application, cook'!I19,"AAAAABWWJYg=")</f>
        <v>#VALUE!</v>
      </c>
      <c r="EH8" t="e">
        <f>AND('Application, cook'!J19,"AAAAABWWJYk=")</f>
        <v>#VALUE!</v>
      </c>
      <c r="EI8" t="e">
        <f>AND('Application, cook'!K19,"AAAAABWWJYo=")</f>
        <v>#VALUE!</v>
      </c>
      <c r="EJ8" t="e">
        <f>AND('Application, cook'!L19,"AAAAABWWJYs=")</f>
        <v>#VALUE!</v>
      </c>
      <c r="EK8" t="e">
        <f>AND('Application, cook'!M19,"AAAAABWWJYw=")</f>
        <v>#VALUE!</v>
      </c>
      <c r="EL8" t="e">
        <f>AND('Application, cook'!N19,"AAAAABWWJY0=")</f>
        <v>#VALUE!</v>
      </c>
      <c r="EM8">
        <f>IF('Application, cook'!20:20,"AAAAABWWJY4=",0)</f>
        <v>0</v>
      </c>
      <c r="EN8" t="e">
        <f>AND('Application, cook'!A20,"AAAAABWWJY8=")</f>
        <v>#VALUE!</v>
      </c>
      <c r="EO8" t="e">
        <f>AND('Application, cook'!B20,"AAAAABWWJZA=")</f>
        <v>#VALUE!</v>
      </c>
      <c r="EP8" t="e">
        <f>AND('Application, cook'!C20,"AAAAABWWJZE=")</f>
        <v>#VALUE!</v>
      </c>
      <c r="EQ8" t="e">
        <f>AND('Application, cook'!D20,"AAAAABWWJZI=")</f>
        <v>#VALUE!</v>
      </c>
      <c r="ER8" t="e">
        <f>AND('Application, cook'!E20,"AAAAABWWJZM=")</f>
        <v>#VALUE!</v>
      </c>
      <c r="ES8" t="e">
        <f>AND('Application, cook'!F20,"AAAAABWWJZQ=")</f>
        <v>#VALUE!</v>
      </c>
      <c r="ET8" t="e">
        <f>AND('Application, cook'!G20,"AAAAABWWJZU=")</f>
        <v>#VALUE!</v>
      </c>
      <c r="EU8" t="e">
        <f>AND('Application, cook'!H20,"AAAAABWWJZY=")</f>
        <v>#VALUE!</v>
      </c>
      <c r="EV8" t="e">
        <f>AND('Application, cook'!I20,"AAAAABWWJZc=")</f>
        <v>#VALUE!</v>
      </c>
      <c r="EW8" t="e">
        <f>AND('Application, cook'!J20,"AAAAABWWJZg=")</f>
        <v>#VALUE!</v>
      </c>
      <c r="EX8" t="e">
        <f>AND('Application, cook'!K20,"AAAAABWWJZk=")</f>
        <v>#VALUE!</v>
      </c>
      <c r="EY8" t="e">
        <f>AND('Application, cook'!L20,"AAAAABWWJZo=")</f>
        <v>#VALUE!</v>
      </c>
      <c r="EZ8" t="e">
        <f>AND('Application, cook'!M20,"AAAAABWWJZs=")</f>
        <v>#VALUE!</v>
      </c>
      <c r="FA8" t="e">
        <f>AND('Application, cook'!N20,"AAAAABWWJZw=")</f>
        <v>#VALUE!</v>
      </c>
      <c r="FB8">
        <f>IF('Application, cook'!21:21,"AAAAABWWJZ0=",0)</f>
        <v>0</v>
      </c>
      <c r="FC8" t="e">
        <f>AND('Application, cook'!A21,"AAAAABWWJZ4=")</f>
        <v>#VALUE!</v>
      </c>
      <c r="FD8" t="e">
        <f>AND('Application, cook'!B21,"AAAAABWWJZ8=")</f>
        <v>#VALUE!</v>
      </c>
      <c r="FE8" t="e">
        <f>AND('Application, cook'!C21,"AAAAABWWJaA=")</f>
        <v>#VALUE!</v>
      </c>
      <c r="FF8" t="e">
        <f>AND('Application, cook'!D21,"AAAAABWWJaE=")</f>
        <v>#VALUE!</v>
      </c>
      <c r="FG8" t="e">
        <f>AND('Application, cook'!E21,"AAAAABWWJaI=")</f>
        <v>#VALUE!</v>
      </c>
      <c r="FH8" t="e">
        <f>AND('Application, cook'!F21,"AAAAABWWJaM=")</f>
        <v>#VALUE!</v>
      </c>
      <c r="FI8" t="e">
        <f>AND('Application, cook'!G21,"AAAAABWWJaQ=")</f>
        <v>#VALUE!</v>
      </c>
      <c r="FJ8" t="e">
        <f>AND('Application, cook'!H21,"AAAAABWWJaU=")</f>
        <v>#VALUE!</v>
      </c>
      <c r="FK8" t="e">
        <f>AND('Application, cook'!I21,"AAAAABWWJaY=")</f>
        <v>#VALUE!</v>
      </c>
      <c r="FL8" t="e">
        <f>AND('Application, cook'!J21,"AAAAABWWJac=")</f>
        <v>#VALUE!</v>
      </c>
      <c r="FM8" t="e">
        <f>AND('Application, cook'!K21,"AAAAABWWJag=")</f>
        <v>#VALUE!</v>
      </c>
      <c r="FN8" t="e">
        <f>AND('Application, cook'!L21,"AAAAABWWJak=")</f>
        <v>#VALUE!</v>
      </c>
      <c r="FO8" t="e">
        <f>AND('Application, cook'!M21,"AAAAABWWJao=")</f>
        <v>#VALUE!</v>
      </c>
      <c r="FP8" t="e">
        <f>AND('Application, cook'!N21,"AAAAABWWJas=")</f>
        <v>#VALUE!</v>
      </c>
      <c r="FQ8">
        <f>IF('Application, cook'!22:22,"AAAAABWWJaw=",0)</f>
        <v>0</v>
      </c>
      <c r="FR8" t="e">
        <f>AND('Application, cook'!A22,"AAAAABWWJa0=")</f>
        <v>#VALUE!</v>
      </c>
      <c r="FS8" t="e">
        <f>AND('Application, cook'!B22,"AAAAABWWJa4=")</f>
        <v>#VALUE!</v>
      </c>
      <c r="FT8" t="e">
        <f>AND('Application, cook'!C22,"AAAAABWWJa8=")</f>
        <v>#VALUE!</v>
      </c>
      <c r="FU8" t="e">
        <f>AND('Application, cook'!D22,"AAAAABWWJbA=")</f>
        <v>#VALUE!</v>
      </c>
      <c r="FV8" t="e">
        <f>AND('Application, cook'!E22,"AAAAABWWJbE=")</f>
        <v>#VALUE!</v>
      </c>
      <c r="FW8" t="e">
        <f>AND('Application, cook'!F22,"AAAAABWWJbI=")</f>
        <v>#VALUE!</v>
      </c>
      <c r="FX8" t="e">
        <f>AND('Application, cook'!G22,"AAAAABWWJbM=")</f>
        <v>#VALUE!</v>
      </c>
      <c r="FY8" t="e">
        <f>AND('Application, cook'!H22,"AAAAABWWJbQ=")</f>
        <v>#VALUE!</v>
      </c>
      <c r="FZ8" t="e">
        <f>AND('Application, cook'!I22,"AAAAABWWJbU=")</f>
        <v>#VALUE!</v>
      </c>
      <c r="GA8" t="e">
        <f>AND('Application, cook'!J22,"AAAAABWWJbY=")</f>
        <v>#VALUE!</v>
      </c>
      <c r="GB8" t="e">
        <f>AND('Application, cook'!K22,"AAAAABWWJbc=")</f>
        <v>#VALUE!</v>
      </c>
      <c r="GC8" t="e">
        <f>AND('Application, cook'!L22,"AAAAABWWJbg=")</f>
        <v>#VALUE!</v>
      </c>
      <c r="GD8" t="e">
        <f>AND('Application, cook'!M22,"AAAAABWWJbk=")</f>
        <v>#VALUE!</v>
      </c>
      <c r="GE8" t="e">
        <f>AND('Application, cook'!N22,"AAAAABWWJbo=")</f>
        <v>#VALUE!</v>
      </c>
      <c r="GF8">
        <f>IF('Application, cook'!23:23,"AAAAABWWJbs=",0)</f>
        <v>0</v>
      </c>
      <c r="GG8" t="e">
        <f>AND('Application, cook'!A23,"AAAAABWWJbw=")</f>
        <v>#VALUE!</v>
      </c>
      <c r="GH8" t="e">
        <f>AND('Application, cook'!B23,"AAAAABWWJb0=")</f>
        <v>#VALUE!</v>
      </c>
      <c r="GI8" t="e">
        <f>AND('Application, cook'!C23,"AAAAABWWJb4=")</f>
        <v>#VALUE!</v>
      </c>
      <c r="GJ8" t="e">
        <f>AND('Application, cook'!D23,"AAAAABWWJb8=")</f>
        <v>#VALUE!</v>
      </c>
      <c r="GK8" t="e">
        <f>AND('Application, cook'!E23,"AAAAABWWJcA=")</f>
        <v>#VALUE!</v>
      </c>
      <c r="GL8" t="e">
        <f>AND('Application, cook'!F23,"AAAAABWWJcE=")</f>
        <v>#VALUE!</v>
      </c>
      <c r="GM8" t="e">
        <f>AND('Application, cook'!G23,"AAAAABWWJcI=")</f>
        <v>#VALUE!</v>
      </c>
      <c r="GN8" t="e">
        <f>AND('Application, cook'!H23,"AAAAABWWJcM=")</f>
        <v>#VALUE!</v>
      </c>
      <c r="GO8" t="e">
        <f>AND('Application, cook'!I23,"AAAAABWWJcQ=")</f>
        <v>#VALUE!</v>
      </c>
      <c r="GP8" t="e">
        <f>AND('Application, cook'!J23,"AAAAABWWJcU=")</f>
        <v>#VALUE!</v>
      </c>
      <c r="GQ8" t="e">
        <f>AND('Application, cook'!K23,"AAAAABWWJcY=")</f>
        <v>#VALUE!</v>
      </c>
      <c r="GR8" t="e">
        <f>AND('Application, cook'!L23,"AAAAABWWJcc=")</f>
        <v>#VALUE!</v>
      </c>
      <c r="GS8" t="e">
        <f>AND('Application, cook'!M23,"AAAAABWWJcg=")</f>
        <v>#VALUE!</v>
      </c>
      <c r="GT8" t="e">
        <f>AND('Application, cook'!N23,"AAAAABWWJck=")</f>
        <v>#VALUE!</v>
      </c>
      <c r="GU8">
        <f>IF('Application, cook'!24:24,"AAAAABWWJco=",0)</f>
        <v>0</v>
      </c>
      <c r="GV8" t="e">
        <f>AND('Application, cook'!A24,"AAAAABWWJcs=")</f>
        <v>#VALUE!</v>
      </c>
      <c r="GW8" t="e">
        <f>AND('Application, cook'!B24,"AAAAABWWJcw=")</f>
        <v>#VALUE!</v>
      </c>
      <c r="GX8" t="e">
        <f>AND('Application, cook'!C24,"AAAAABWWJc0=")</f>
        <v>#VALUE!</v>
      </c>
      <c r="GY8" t="e">
        <f>AND('Application, cook'!D24,"AAAAABWWJc4=")</f>
        <v>#VALUE!</v>
      </c>
      <c r="GZ8" t="e">
        <f>AND('Application, cook'!E24,"AAAAABWWJc8=")</f>
        <v>#VALUE!</v>
      </c>
      <c r="HA8" t="e">
        <f>AND('Application, cook'!F24,"AAAAABWWJdA=")</f>
        <v>#VALUE!</v>
      </c>
      <c r="HB8" t="e">
        <f>AND('Application, cook'!G24,"AAAAABWWJdE=")</f>
        <v>#VALUE!</v>
      </c>
      <c r="HC8" t="e">
        <f>AND('Application, cook'!H24,"AAAAABWWJdI=")</f>
        <v>#VALUE!</v>
      </c>
      <c r="HD8" t="e">
        <f>AND('Application, cook'!I24,"AAAAABWWJdM=")</f>
        <v>#VALUE!</v>
      </c>
      <c r="HE8" t="e">
        <f>AND('Application, cook'!J24,"AAAAABWWJdQ=")</f>
        <v>#VALUE!</v>
      </c>
      <c r="HF8" t="e">
        <f>AND('Application, cook'!K24,"AAAAABWWJdU=")</f>
        <v>#VALUE!</v>
      </c>
      <c r="HG8" t="e">
        <f>AND('Application, cook'!L24,"AAAAABWWJdY=")</f>
        <v>#VALUE!</v>
      </c>
      <c r="HH8" t="e">
        <f>AND('Application, cook'!M24,"AAAAABWWJdc=")</f>
        <v>#VALUE!</v>
      </c>
      <c r="HI8" t="e">
        <f>AND('Application, cook'!N24,"AAAAABWWJdg=")</f>
        <v>#VALUE!</v>
      </c>
      <c r="HJ8">
        <f>IF('Application, cook'!25:25,"AAAAABWWJdk=",0)</f>
        <v>0</v>
      </c>
      <c r="HK8" t="e">
        <f>AND('Application, cook'!A25,"AAAAABWWJdo=")</f>
        <v>#VALUE!</v>
      </c>
      <c r="HL8" t="e">
        <f>AND('Application, cook'!B25,"AAAAABWWJds=")</f>
        <v>#VALUE!</v>
      </c>
      <c r="HM8" t="e">
        <f>AND('Application, cook'!C25,"AAAAABWWJdw=")</f>
        <v>#VALUE!</v>
      </c>
      <c r="HN8" t="e">
        <f>AND('Application, cook'!D25,"AAAAABWWJd0=")</f>
        <v>#VALUE!</v>
      </c>
      <c r="HO8" t="e">
        <f>AND('Application, cook'!E25,"AAAAABWWJd4=")</f>
        <v>#VALUE!</v>
      </c>
      <c r="HP8" t="e">
        <f>AND('Application, cook'!F25,"AAAAABWWJd8=")</f>
        <v>#VALUE!</v>
      </c>
      <c r="HQ8" t="e">
        <f>AND('Application, cook'!G25,"AAAAABWWJeA=")</f>
        <v>#VALUE!</v>
      </c>
      <c r="HR8" t="e">
        <f>AND('Application, cook'!H25,"AAAAABWWJeE=")</f>
        <v>#VALUE!</v>
      </c>
      <c r="HS8" t="e">
        <f>AND('Application, cook'!I25,"AAAAABWWJeI=")</f>
        <v>#VALUE!</v>
      </c>
      <c r="HT8" t="e">
        <f>AND('Application, cook'!J25,"AAAAABWWJeM=")</f>
        <v>#VALUE!</v>
      </c>
      <c r="HU8" t="e">
        <f>AND('Application, cook'!K25,"AAAAABWWJeQ=")</f>
        <v>#VALUE!</v>
      </c>
      <c r="HV8" t="e">
        <f>AND('Application, cook'!L25,"AAAAABWWJeU=")</f>
        <v>#VALUE!</v>
      </c>
      <c r="HW8" t="e">
        <f>AND('Application, cook'!M25,"AAAAABWWJeY=")</f>
        <v>#VALUE!</v>
      </c>
      <c r="HX8" t="e">
        <f>AND('Application, cook'!N25,"AAAAABWWJec=")</f>
        <v>#VALUE!</v>
      </c>
      <c r="HY8">
        <f>IF('Application, cook'!26:26,"AAAAABWWJeg=",0)</f>
        <v>0</v>
      </c>
      <c r="HZ8" t="e">
        <f>AND('Application, cook'!A26,"AAAAABWWJek=")</f>
        <v>#VALUE!</v>
      </c>
      <c r="IA8" t="e">
        <f>AND('Application, cook'!B26,"AAAAABWWJeo=")</f>
        <v>#VALUE!</v>
      </c>
      <c r="IB8" t="e">
        <f>AND('Application, cook'!C26,"AAAAABWWJes=")</f>
        <v>#VALUE!</v>
      </c>
      <c r="IC8" t="e">
        <f>AND('Application, cook'!D26,"AAAAABWWJew=")</f>
        <v>#VALUE!</v>
      </c>
      <c r="ID8" t="e">
        <f>AND('Application, cook'!E26,"AAAAABWWJe0=")</f>
        <v>#VALUE!</v>
      </c>
      <c r="IE8" t="e">
        <f>AND('Application, cook'!F26,"AAAAABWWJe4=")</f>
        <v>#VALUE!</v>
      </c>
      <c r="IF8" t="e">
        <f>AND('Application, cook'!G26,"AAAAABWWJe8=")</f>
        <v>#VALUE!</v>
      </c>
      <c r="IG8" t="e">
        <f>AND('Application, cook'!H26,"AAAAABWWJfA=")</f>
        <v>#VALUE!</v>
      </c>
      <c r="IH8" t="e">
        <f>AND('Application, cook'!I26,"AAAAABWWJfE=")</f>
        <v>#VALUE!</v>
      </c>
      <c r="II8" t="e">
        <f>AND('Application, cook'!J26,"AAAAABWWJfI=")</f>
        <v>#VALUE!</v>
      </c>
      <c r="IJ8" t="e">
        <f>AND('Application, cook'!K26,"AAAAABWWJfM=")</f>
        <v>#VALUE!</v>
      </c>
      <c r="IK8" t="e">
        <f>AND('Application, cook'!L26,"AAAAABWWJfQ=")</f>
        <v>#VALUE!</v>
      </c>
      <c r="IL8" t="e">
        <f>AND('Application, cook'!M26,"AAAAABWWJfU=")</f>
        <v>#VALUE!</v>
      </c>
      <c r="IM8" t="e">
        <f>AND('Application, cook'!N26,"AAAAABWWJfY=")</f>
        <v>#VALUE!</v>
      </c>
      <c r="IN8">
        <f>IF('Application, cook'!27:27,"AAAAABWWJfc=",0)</f>
        <v>0</v>
      </c>
      <c r="IO8" t="e">
        <f>AND('Application, cook'!A27,"AAAAABWWJfg=")</f>
        <v>#VALUE!</v>
      </c>
      <c r="IP8" t="e">
        <f>AND('Application, cook'!B27,"AAAAABWWJfk=")</f>
        <v>#VALUE!</v>
      </c>
      <c r="IQ8" t="e">
        <f>AND('Application, cook'!C27,"AAAAABWWJfo=")</f>
        <v>#VALUE!</v>
      </c>
      <c r="IR8" t="e">
        <f>AND('Application, cook'!D27,"AAAAABWWJfs=")</f>
        <v>#VALUE!</v>
      </c>
      <c r="IS8" t="e">
        <f>AND('Application, cook'!E27,"AAAAABWWJfw=")</f>
        <v>#VALUE!</v>
      </c>
      <c r="IT8" t="e">
        <f>AND('Application, cook'!F27,"AAAAABWWJf0=")</f>
        <v>#VALUE!</v>
      </c>
      <c r="IU8" t="e">
        <f>AND('Application, cook'!G27,"AAAAABWWJf4=")</f>
        <v>#VALUE!</v>
      </c>
      <c r="IV8" t="e">
        <f>AND('Application, cook'!H27,"AAAAABWWJf8=")</f>
        <v>#VALUE!</v>
      </c>
    </row>
    <row r="9" spans="1:256" ht="12.75">
      <c r="A9" t="e">
        <f>AND('Application, cook'!I27,"AAAAAHY9/wA=")</f>
        <v>#VALUE!</v>
      </c>
      <c r="B9" t="e">
        <f>AND('Application, cook'!J27,"AAAAAHY9/wE=")</f>
        <v>#VALUE!</v>
      </c>
      <c r="C9" t="e">
        <f>AND('Application, cook'!K27,"AAAAAHY9/wI=")</f>
        <v>#VALUE!</v>
      </c>
      <c r="D9" t="e">
        <f>AND('Application, cook'!L27,"AAAAAHY9/wM=")</f>
        <v>#VALUE!</v>
      </c>
      <c r="E9" t="e">
        <f>AND('Application, cook'!M27,"AAAAAHY9/wQ=")</f>
        <v>#VALUE!</v>
      </c>
      <c r="F9" t="e">
        <f>AND('Application, cook'!N27,"AAAAAHY9/wU=")</f>
        <v>#VALUE!</v>
      </c>
      <c r="G9">
        <f>IF('Application, cook'!28:28,"AAAAAHY9/wY=",0)</f>
        <v>0</v>
      </c>
      <c r="H9" t="e">
        <f>AND('Application, cook'!A28,"AAAAAHY9/wc=")</f>
        <v>#VALUE!</v>
      </c>
      <c r="I9" t="e">
        <f>AND('Application, cook'!B28,"AAAAAHY9/wg=")</f>
        <v>#VALUE!</v>
      </c>
      <c r="J9" t="e">
        <f>AND('Application, cook'!C28,"AAAAAHY9/wk=")</f>
        <v>#VALUE!</v>
      </c>
      <c r="K9" t="e">
        <f>AND('Application, cook'!D28,"AAAAAHY9/wo=")</f>
        <v>#VALUE!</v>
      </c>
      <c r="L9" t="e">
        <f>AND('Application, cook'!E28,"AAAAAHY9/ws=")</f>
        <v>#VALUE!</v>
      </c>
      <c r="M9" t="e">
        <f>AND('Application, cook'!F28,"AAAAAHY9/ww=")</f>
        <v>#VALUE!</v>
      </c>
      <c r="N9" t="e">
        <f>AND('Application, cook'!G28,"AAAAAHY9/w0=")</f>
        <v>#VALUE!</v>
      </c>
      <c r="O9" t="e">
        <f>AND('Application, cook'!H28,"AAAAAHY9/w4=")</f>
        <v>#VALUE!</v>
      </c>
      <c r="P9" t="e">
        <f>AND('Application, cook'!I28,"AAAAAHY9/w8=")</f>
        <v>#VALUE!</v>
      </c>
      <c r="Q9" t="e">
        <f>AND('Application, cook'!J28,"AAAAAHY9/xA=")</f>
        <v>#VALUE!</v>
      </c>
      <c r="R9" t="e">
        <f>AND('Application, cook'!K28,"AAAAAHY9/xE=")</f>
        <v>#VALUE!</v>
      </c>
      <c r="S9" t="e">
        <f>AND('Application, cook'!L28,"AAAAAHY9/xI=")</f>
        <v>#VALUE!</v>
      </c>
      <c r="T9" t="e">
        <f>AND('Application, cook'!M28,"AAAAAHY9/xM=")</f>
        <v>#VALUE!</v>
      </c>
      <c r="U9" t="e">
        <f>AND('Application, cook'!N28,"AAAAAHY9/xQ=")</f>
        <v>#VALUE!</v>
      </c>
      <c r="V9">
        <f>IF('Application, cook'!29:29,"AAAAAHY9/xU=",0)</f>
        <v>0</v>
      </c>
      <c r="W9" t="e">
        <f>AND('Application, cook'!A29,"AAAAAHY9/xY=")</f>
        <v>#VALUE!</v>
      </c>
      <c r="X9" t="e">
        <f>AND('Application, cook'!B29,"AAAAAHY9/xc=")</f>
        <v>#VALUE!</v>
      </c>
      <c r="Y9" t="e">
        <f>AND('Application, cook'!C29,"AAAAAHY9/xg=")</f>
        <v>#VALUE!</v>
      </c>
      <c r="Z9" t="e">
        <f>AND('Application, cook'!D29,"AAAAAHY9/xk=")</f>
        <v>#VALUE!</v>
      </c>
      <c r="AA9" t="e">
        <f>AND('Application, cook'!E29,"AAAAAHY9/xo=")</f>
        <v>#VALUE!</v>
      </c>
      <c r="AB9" t="e">
        <f>AND('Application, cook'!F29,"AAAAAHY9/xs=")</f>
        <v>#VALUE!</v>
      </c>
      <c r="AC9" t="e">
        <f>AND('Application, cook'!G29,"AAAAAHY9/xw=")</f>
        <v>#VALUE!</v>
      </c>
      <c r="AD9" t="e">
        <f>AND('Application, cook'!H29,"AAAAAHY9/x0=")</f>
        <v>#VALUE!</v>
      </c>
      <c r="AE9" t="e">
        <f>AND('Application, cook'!I29,"AAAAAHY9/x4=")</f>
        <v>#VALUE!</v>
      </c>
      <c r="AF9" t="e">
        <f>AND('Application, cook'!J29,"AAAAAHY9/x8=")</f>
        <v>#VALUE!</v>
      </c>
      <c r="AG9" t="e">
        <f>AND('Application, cook'!K29,"AAAAAHY9/yA=")</f>
        <v>#VALUE!</v>
      </c>
      <c r="AH9" t="e">
        <f>AND('Application, cook'!L29,"AAAAAHY9/yE=")</f>
        <v>#VALUE!</v>
      </c>
      <c r="AI9" t="e">
        <f>AND('Application, cook'!M29,"AAAAAHY9/yI=")</f>
        <v>#VALUE!</v>
      </c>
      <c r="AJ9" t="e">
        <f>AND('Application, cook'!N29,"AAAAAHY9/yM=")</f>
        <v>#VALUE!</v>
      </c>
      <c r="AK9">
        <f>IF('Application, cook'!30:30,"AAAAAHY9/yQ=",0)</f>
        <v>0</v>
      </c>
      <c r="AL9" t="e">
        <f>AND('Application, cook'!A30,"AAAAAHY9/yU=")</f>
        <v>#VALUE!</v>
      </c>
      <c r="AM9" t="e">
        <f>AND('Application, cook'!B30,"AAAAAHY9/yY=")</f>
        <v>#VALUE!</v>
      </c>
      <c r="AN9" t="e">
        <f>AND('Application, cook'!C30,"AAAAAHY9/yc=")</f>
        <v>#VALUE!</v>
      </c>
      <c r="AO9" t="e">
        <f>AND('Application, cook'!D30,"AAAAAHY9/yg=")</f>
        <v>#VALUE!</v>
      </c>
      <c r="AP9" t="e">
        <f>AND('Application, cook'!E30,"AAAAAHY9/yk=")</f>
        <v>#VALUE!</v>
      </c>
      <c r="AQ9" t="e">
        <f>AND('Application, cook'!F30,"AAAAAHY9/yo=")</f>
        <v>#VALUE!</v>
      </c>
      <c r="AR9" t="e">
        <f>AND('Application, cook'!G30,"AAAAAHY9/ys=")</f>
        <v>#VALUE!</v>
      </c>
      <c r="AS9" t="e">
        <f>AND('Application, cook'!H30,"AAAAAHY9/yw=")</f>
        <v>#VALUE!</v>
      </c>
      <c r="AT9" t="e">
        <f>AND('Application, cook'!I30,"AAAAAHY9/y0=")</f>
        <v>#VALUE!</v>
      </c>
      <c r="AU9" t="e">
        <f>AND('Application, cook'!J30,"AAAAAHY9/y4=")</f>
        <v>#VALUE!</v>
      </c>
      <c r="AV9" t="e">
        <f>AND('Application, cook'!K30,"AAAAAHY9/y8=")</f>
        <v>#VALUE!</v>
      </c>
      <c r="AW9" t="e">
        <f>AND('Application, cook'!L30,"AAAAAHY9/zA=")</f>
        <v>#VALUE!</v>
      </c>
      <c r="AX9" t="e">
        <f>AND('Application, cook'!M30,"AAAAAHY9/zE=")</f>
        <v>#VALUE!</v>
      </c>
      <c r="AY9" t="e">
        <f>AND('Application, cook'!N30,"AAAAAHY9/zI=")</f>
        <v>#VALUE!</v>
      </c>
      <c r="AZ9">
        <f>IF('Application, cook'!31:31,"AAAAAHY9/zM=",0)</f>
        <v>0</v>
      </c>
      <c r="BA9" t="e">
        <f>AND('Application, cook'!A31,"AAAAAHY9/zQ=")</f>
        <v>#VALUE!</v>
      </c>
      <c r="BB9" t="e">
        <f>AND('Application, cook'!B31,"AAAAAHY9/zU=")</f>
        <v>#VALUE!</v>
      </c>
      <c r="BC9" t="e">
        <f>AND('Application, cook'!C31,"AAAAAHY9/zY=")</f>
        <v>#VALUE!</v>
      </c>
      <c r="BD9" t="e">
        <f>AND('Application, cook'!D31,"AAAAAHY9/zc=")</f>
        <v>#VALUE!</v>
      </c>
      <c r="BE9" t="e">
        <f>AND('Application, cook'!E31,"AAAAAHY9/zg=")</f>
        <v>#VALUE!</v>
      </c>
      <c r="BF9" t="e">
        <f>AND('Application, cook'!F31,"AAAAAHY9/zk=")</f>
        <v>#VALUE!</v>
      </c>
      <c r="BG9" t="e">
        <f>AND('Application, cook'!G31,"AAAAAHY9/zo=")</f>
        <v>#VALUE!</v>
      </c>
      <c r="BH9" t="e">
        <f>AND('Application, cook'!H31,"AAAAAHY9/zs=")</f>
        <v>#VALUE!</v>
      </c>
      <c r="BI9" t="e">
        <f>AND('Application, cook'!I31,"AAAAAHY9/zw=")</f>
        <v>#VALUE!</v>
      </c>
      <c r="BJ9" t="e">
        <f>AND('Application, cook'!J31,"AAAAAHY9/z0=")</f>
        <v>#VALUE!</v>
      </c>
      <c r="BK9" t="e">
        <f>AND('Application, cook'!K31,"AAAAAHY9/z4=")</f>
        <v>#VALUE!</v>
      </c>
      <c r="BL9" t="e">
        <f>AND('Application, cook'!L31,"AAAAAHY9/z8=")</f>
        <v>#VALUE!</v>
      </c>
      <c r="BM9" t="e">
        <f>AND('Application, cook'!M31,"AAAAAHY9/0A=")</f>
        <v>#VALUE!</v>
      </c>
      <c r="BN9" t="e">
        <f>AND('Application, cook'!N31,"AAAAAHY9/0E=")</f>
        <v>#VALUE!</v>
      </c>
      <c r="BO9">
        <f>IF('Application, cook'!32:32,"AAAAAHY9/0I=",0)</f>
        <v>0</v>
      </c>
      <c r="BP9" t="e">
        <f>AND('Application, cook'!A32,"AAAAAHY9/0M=")</f>
        <v>#VALUE!</v>
      </c>
      <c r="BQ9" t="e">
        <f>AND('Application, cook'!B32,"AAAAAHY9/0Q=")</f>
        <v>#VALUE!</v>
      </c>
      <c r="BR9" t="e">
        <f>AND('Application, cook'!C32,"AAAAAHY9/0U=")</f>
        <v>#VALUE!</v>
      </c>
      <c r="BS9" t="e">
        <f>AND('Application, cook'!D32,"AAAAAHY9/0Y=")</f>
        <v>#VALUE!</v>
      </c>
      <c r="BT9" t="e">
        <f>AND('Application, cook'!E32,"AAAAAHY9/0c=")</f>
        <v>#VALUE!</v>
      </c>
      <c r="BU9" t="e">
        <f>AND('Application, cook'!F32,"AAAAAHY9/0g=")</f>
        <v>#VALUE!</v>
      </c>
      <c r="BV9" t="e">
        <f>AND('Application, cook'!G32,"AAAAAHY9/0k=")</f>
        <v>#VALUE!</v>
      </c>
      <c r="BW9" t="e">
        <f>AND('Application, cook'!H32,"AAAAAHY9/0o=")</f>
        <v>#VALUE!</v>
      </c>
      <c r="BX9" t="e">
        <f>AND('Application, cook'!I32,"AAAAAHY9/0s=")</f>
        <v>#VALUE!</v>
      </c>
      <c r="BY9" t="e">
        <f>AND('Application, cook'!J32,"AAAAAHY9/0w=")</f>
        <v>#VALUE!</v>
      </c>
      <c r="BZ9" t="e">
        <f>AND('Application, cook'!K32,"AAAAAHY9/00=")</f>
        <v>#VALUE!</v>
      </c>
      <c r="CA9" t="e">
        <f>AND('Application, cook'!L32,"AAAAAHY9/04=")</f>
        <v>#VALUE!</v>
      </c>
      <c r="CB9" t="e">
        <f>AND('Application, cook'!M32,"AAAAAHY9/08=")</f>
        <v>#VALUE!</v>
      </c>
      <c r="CC9" t="e">
        <f>AND('Application, cook'!N32,"AAAAAHY9/1A=")</f>
        <v>#VALUE!</v>
      </c>
      <c r="CD9">
        <f>IF('Application, cook'!33:33,"AAAAAHY9/1E=",0)</f>
        <v>0</v>
      </c>
      <c r="CE9" t="e">
        <f>AND('Application, cook'!A33,"AAAAAHY9/1I=")</f>
        <v>#VALUE!</v>
      </c>
      <c r="CF9" t="e">
        <f>AND('Application, cook'!B33,"AAAAAHY9/1M=")</f>
        <v>#VALUE!</v>
      </c>
      <c r="CG9" t="e">
        <f>AND('Application, cook'!C33,"AAAAAHY9/1Q=")</f>
        <v>#VALUE!</v>
      </c>
      <c r="CH9" t="e">
        <f>AND('Application, cook'!D33,"AAAAAHY9/1U=")</f>
        <v>#VALUE!</v>
      </c>
      <c r="CI9" t="e">
        <f>AND('Application, cook'!E33,"AAAAAHY9/1Y=")</f>
        <v>#VALUE!</v>
      </c>
      <c r="CJ9" t="e">
        <f>AND('Application, cook'!F33,"AAAAAHY9/1c=")</f>
        <v>#VALUE!</v>
      </c>
      <c r="CK9" t="e">
        <f>AND('Application, cook'!G33,"AAAAAHY9/1g=")</f>
        <v>#VALUE!</v>
      </c>
      <c r="CL9" t="e">
        <f>AND('Application, cook'!H33,"AAAAAHY9/1k=")</f>
        <v>#VALUE!</v>
      </c>
      <c r="CM9" t="e">
        <f>AND('Application, cook'!I33,"AAAAAHY9/1o=")</f>
        <v>#VALUE!</v>
      </c>
      <c r="CN9" t="e">
        <f>AND('Application, cook'!J33,"AAAAAHY9/1s=")</f>
        <v>#VALUE!</v>
      </c>
      <c r="CO9" t="e">
        <f>AND('Application, cook'!K33,"AAAAAHY9/1w=")</f>
        <v>#VALUE!</v>
      </c>
      <c r="CP9" t="e">
        <f>AND('Application, cook'!L33,"AAAAAHY9/10=")</f>
        <v>#VALUE!</v>
      </c>
      <c r="CQ9" t="e">
        <f>AND('Application, cook'!M33,"AAAAAHY9/14=")</f>
        <v>#VALUE!</v>
      </c>
      <c r="CR9" t="e">
        <f>AND('Application, cook'!N33,"AAAAAHY9/18=")</f>
        <v>#VALUE!</v>
      </c>
      <c r="CS9">
        <f>IF('Application, cook'!34:34,"AAAAAHY9/2A=",0)</f>
        <v>0</v>
      </c>
      <c r="CT9" t="e">
        <f>AND('Application, cook'!A34,"AAAAAHY9/2E=")</f>
        <v>#VALUE!</v>
      </c>
      <c r="CU9" t="e">
        <f>AND('Application, cook'!B34,"AAAAAHY9/2I=")</f>
        <v>#VALUE!</v>
      </c>
      <c r="CV9" t="e">
        <f>AND('Application, cook'!C34,"AAAAAHY9/2M=")</f>
        <v>#VALUE!</v>
      </c>
      <c r="CW9" t="e">
        <f>AND('Application, cook'!D34,"AAAAAHY9/2Q=")</f>
        <v>#VALUE!</v>
      </c>
      <c r="CX9" t="e">
        <f>AND('Application, cook'!E34,"AAAAAHY9/2U=")</f>
        <v>#VALUE!</v>
      </c>
      <c r="CY9" t="e">
        <f>AND('Application, cook'!F34,"AAAAAHY9/2Y=")</f>
        <v>#VALUE!</v>
      </c>
      <c r="CZ9" t="e">
        <f>AND('Application, cook'!G34,"AAAAAHY9/2c=")</f>
        <v>#VALUE!</v>
      </c>
      <c r="DA9" t="e">
        <f>AND('Application, cook'!H34,"AAAAAHY9/2g=")</f>
        <v>#VALUE!</v>
      </c>
      <c r="DB9" t="e">
        <f>AND('Application, cook'!I34,"AAAAAHY9/2k=")</f>
        <v>#VALUE!</v>
      </c>
      <c r="DC9" t="e">
        <f>AND('Application, cook'!J34,"AAAAAHY9/2o=")</f>
        <v>#VALUE!</v>
      </c>
      <c r="DD9" t="e">
        <f>AND('Application, cook'!K34,"AAAAAHY9/2s=")</f>
        <v>#VALUE!</v>
      </c>
      <c r="DE9" t="e">
        <f>AND('Application, cook'!L34,"AAAAAHY9/2w=")</f>
        <v>#VALUE!</v>
      </c>
      <c r="DF9" t="e">
        <f>AND('Application, cook'!M34,"AAAAAHY9/20=")</f>
        <v>#VALUE!</v>
      </c>
      <c r="DG9" t="e">
        <f>AND('Application, cook'!N34,"AAAAAHY9/24=")</f>
        <v>#VALUE!</v>
      </c>
      <c r="DH9">
        <f>IF('Application, cook'!35:35,"AAAAAHY9/28=",0)</f>
        <v>0</v>
      </c>
      <c r="DI9" t="e">
        <f>AND('Application, cook'!A35,"AAAAAHY9/3A=")</f>
        <v>#VALUE!</v>
      </c>
      <c r="DJ9" t="e">
        <f>AND('Application, cook'!B35,"AAAAAHY9/3E=")</f>
        <v>#VALUE!</v>
      </c>
      <c r="DK9" t="e">
        <f>AND('Application, cook'!C35,"AAAAAHY9/3I=")</f>
        <v>#VALUE!</v>
      </c>
      <c r="DL9" t="e">
        <f>AND('Application, cook'!D35,"AAAAAHY9/3M=")</f>
        <v>#VALUE!</v>
      </c>
      <c r="DM9" t="e">
        <f>AND('Application, cook'!E35,"AAAAAHY9/3Q=")</f>
        <v>#VALUE!</v>
      </c>
      <c r="DN9" t="e">
        <f>AND('Application, cook'!F35,"AAAAAHY9/3U=")</f>
        <v>#VALUE!</v>
      </c>
      <c r="DO9" t="e">
        <f>AND('Application, cook'!G35,"AAAAAHY9/3Y=")</f>
        <v>#VALUE!</v>
      </c>
      <c r="DP9" t="e">
        <f>AND('Application, cook'!H35,"AAAAAHY9/3c=")</f>
        <v>#VALUE!</v>
      </c>
      <c r="DQ9" t="e">
        <f>AND('Application, cook'!I35,"AAAAAHY9/3g=")</f>
        <v>#VALUE!</v>
      </c>
      <c r="DR9" t="e">
        <f>AND('Application, cook'!J35,"AAAAAHY9/3k=")</f>
        <v>#VALUE!</v>
      </c>
      <c r="DS9" t="e">
        <f>AND('Application, cook'!K35,"AAAAAHY9/3o=")</f>
        <v>#VALUE!</v>
      </c>
      <c r="DT9" t="e">
        <f>AND('Application, cook'!L35,"AAAAAHY9/3s=")</f>
        <v>#VALUE!</v>
      </c>
      <c r="DU9" t="e">
        <f>AND('Application, cook'!M35,"AAAAAHY9/3w=")</f>
        <v>#VALUE!</v>
      </c>
      <c r="DV9" t="e">
        <f>AND('Application, cook'!N35,"AAAAAHY9/30=")</f>
        <v>#VALUE!</v>
      </c>
      <c r="DW9">
        <f>IF('Application, cook'!36:36,"AAAAAHY9/34=",0)</f>
        <v>0</v>
      </c>
      <c r="DX9" t="e">
        <f>AND('Application, cook'!A36,"AAAAAHY9/38=")</f>
        <v>#VALUE!</v>
      </c>
      <c r="DY9" t="e">
        <f>AND('Application, cook'!B36,"AAAAAHY9/4A=")</f>
        <v>#VALUE!</v>
      </c>
      <c r="DZ9" t="e">
        <f>AND('Application, cook'!C36,"AAAAAHY9/4E=")</f>
        <v>#VALUE!</v>
      </c>
      <c r="EA9" t="e">
        <f>AND('Application, cook'!D36,"AAAAAHY9/4I=")</f>
        <v>#VALUE!</v>
      </c>
      <c r="EB9" t="e">
        <f>AND('Application, cook'!E36,"AAAAAHY9/4M=")</f>
        <v>#VALUE!</v>
      </c>
      <c r="EC9" t="e">
        <f>AND('Application, cook'!F36,"AAAAAHY9/4Q=")</f>
        <v>#VALUE!</v>
      </c>
      <c r="ED9" t="e">
        <f>AND('Application, cook'!G36,"AAAAAHY9/4U=")</f>
        <v>#VALUE!</v>
      </c>
      <c r="EE9" t="e">
        <f>AND('Application, cook'!H36,"AAAAAHY9/4Y=")</f>
        <v>#VALUE!</v>
      </c>
      <c r="EF9" t="e">
        <f>AND('Application, cook'!I36,"AAAAAHY9/4c=")</f>
        <v>#VALUE!</v>
      </c>
      <c r="EG9" t="e">
        <f>AND('Application, cook'!J36,"AAAAAHY9/4g=")</f>
        <v>#VALUE!</v>
      </c>
      <c r="EH9" t="e">
        <f>AND('Application, cook'!K36,"AAAAAHY9/4k=")</f>
        <v>#VALUE!</v>
      </c>
      <c r="EI9" t="e">
        <f>AND('Application, cook'!L36,"AAAAAHY9/4o=")</f>
        <v>#VALUE!</v>
      </c>
      <c r="EJ9" t="e">
        <f>AND('Application, cook'!M36,"AAAAAHY9/4s=")</f>
        <v>#VALUE!</v>
      </c>
      <c r="EK9" t="e">
        <f>AND('Application, cook'!N36,"AAAAAHY9/4w=")</f>
        <v>#VALUE!</v>
      </c>
      <c r="EL9">
        <f>IF('Application, cook'!37:37,"AAAAAHY9/40=",0)</f>
        <v>0</v>
      </c>
      <c r="EM9" t="e">
        <f>AND('Application, cook'!A37,"AAAAAHY9/44=")</f>
        <v>#VALUE!</v>
      </c>
      <c r="EN9" t="e">
        <f>AND('Application, cook'!B37,"AAAAAHY9/48=")</f>
        <v>#VALUE!</v>
      </c>
      <c r="EO9" t="e">
        <f>AND('Application, cook'!C37,"AAAAAHY9/5A=")</f>
        <v>#VALUE!</v>
      </c>
      <c r="EP9" t="e">
        <f>AND('Application, cook'!D37,"AAAAAHY9/5E=")</f>
        <v>#VALUE!</v>
      </c>
      <c r="EQ9" t="e">
        <f>AND('Application, cook'!E37,"AAAAAHY9/5I=")</f>
        <v>#VALUE!</v>
      </c>
      <c r="ER9" t="e">
        <f>AND('Application, cook'!F37,"AAAAAHY9/5M=")</f>
        <v>#VALUE!</v>
      </c>
      <c r="ES9" t="e">
        <f>AND('Application, cook'!G37,"AAAAAHY9/5Q=")</f>
        <v>#VALUE!</v>
      </c>
      <c r="ET9" t="e">
        <f>AND('Application, cook'!H37,"AAAAAHY9/5U=")</f>
        <v>#VALUE!</v>
      </c>
      <c r="EU9" t="e">
        <f>AND('Application, cook'!I37,"AAAAAHY9/5Y=")</f>
        <v>#VALUE!</v>
      </c>
      <c r="EV9" t="e">
        <f>AND('Application, cook'!J37,"AAAAAHY9/5c=")</f>
        <v>#VALUE!</v>
      </c>
      <c r="EW9" t="e">
        <f>AND('Application, cook'!K37,"AAAAAHY9/5g=")</f>
        <v>#VALUE!</v>
      </c>
      <c r="EX9" t="e">
        <f>AND('Application, cook'!L37,"AAAAAHY9/5k=")</f>
        <v>#VALUE!</v>
      </c>
      <c r="EY9" t="e">
        <f>AND('Application, cook'!M37,"AAAAAHY9/5o=")</f>
        <v>#VALUE!</v>
      </c>
      <c r="EZ9" t="e">
        <f>AND('Application, cook'!N37,"AAAAAHY9/5s=")</f>
        <v>#VALUE!</v>
      </c>
      <c r="FA9">
        <f>IF('Application, cook'!38:38,"AAAAAHY9/5w=",0)</f>
        <v>0</v>
      </c>
      <c r="FB9" t="e">
        <f>AND('Application, cook'!A38,"AAAAAHY9/50=")</f>
        <v>#VALUE!</v>
      </c>
      <c r="FC9" t="e">
        <f>AND('Application, cook'!B38,"AAAAAHY9/54=")</f>
        <v>#VALUE!</v>
      </c>
      <c r="FD9" t="e">
        <f>AND('Application, cook'!C38,"AAAAAHY9/58=")</f>
        <v>#VALUE!</v>
      </c>
      <c r="FE9" t="e">
        <f>AND('Application, cook'!D38,"AAAAAHY9/6A=")</f>
        <v>#VALUE!</v>
      </c>
      <c r="FF9" t="e">
        <f>AND('Application, cook'!E38,"AAAAAHY9/6E=")</f>
        <v>#VALUE!</v>
      </c>
      <c r="FG9" t="e">
        <f>AND('Application, cook'!F38,"AAAAAHY9/6I=")</f>
        <v>#VALUE!</v>
      </c>
      <c r="FH9" t="e">
        <f>AND('Application, cook'!G38,"AAAAAHY9/6M=")</f>
        <v>#VALUE!</v>
      </c>
      <c r="FI9" t="e">
        <f>AND('Application, cook'!H38,"AAAAAHY9/6Q=")</f>
        <v>#VALUE!</v>
      </c>
      <c r="FJ9" t="e">
        <f>AND('Application, cook'!I38,"AAAAAHY9/6U=")</f>
        <v>#VALUE!</v>
      </c>
      <c r="FK9" t="e">
        <f>AND('Application, cook'!J38,"AAAAAHY9/6Y=")</f>
        <v>#VALUE!</v>
      </c>
      <c r="FL9" t="e">
        <f>AND('Application, cook'!K38,"AAAAAHY9/6c=")</f>
        <v>#VALUE!</v>
      </c>
      <c r="FM9" t="e">
        <f>AND('Application, cook'!L38,"AAAAAHY9/6g=")</f>
        <v>#VALUE!</v>
      </c>
      <c r="FN9" t="e">
        <f>AND('Application, cook'!M38,"AAAAAHY9/6k=")</f>
        <v>#VALUE!</v>
      </c>
      <c r="FO9" t="e">
        <f>AND('Application, cook'!N38,"AAAAAHY9/6o=")</f>
        <v>#VALUE!</v>
      </c>
      <c r="FP9">
        <f>IF('Application, cook'!39:39,"AAAAAHY9/6s=",0)</f>
        <v>0</v>
      </c>
      <c r="FQ9" t="e">
        <f>AND('Application, cook'!A39,"AAAAAHY9/6w=")</f>
        <v>#VALUE!</v>
      </c>
      <c r="FR9" t="e">
        <f>AND('Application, cook'!B39,"AAAAAHY9/60=")</f>
        <v>#VALUE!</v>
      </c>
      <c r="FS9" t="e">
        <f>AND('Application, cook'!C39,"AAAAAHY9/64=")</f>
        <v>#VALUE!</v>
      </c>
      <c r="FT9" t="e">
        <f>AND('Application, cook'!D39,"AAAAAHY9/68=")</f>
        <v>#VALUE!</v>
      </c>
      <c r="FU9" t="e">
        <f>AND('Application, cook'!E39,"AAAAAHY9/7A=")</f>
        <v>#VALUE!</v>
      </c>
      <c r="FV9" t="e">
        <f>AND('Application, cook'!F39,"AAAAAHY9/7E=")</f>
        <v>#VALUE!</v>
      </c>
      <c r="FW9" t="e">
        <f>AND('Application, cook'!G39,"AAAAAHY9/7I=")</f>
        <v>#VALUE!</v>
      </c>
      <c r="FX9" t="e">
        <f>AND('Application, cook'!H39,"AAAAAHY9/7M=")</f>
        <v>#VALUE!</v>
      </c>
      <c r="FY9" t="e">
        <f>AND('Application, cook'!I39,"AAAAAHY9/7Q=")</f>
        <v>#VALUE!</v>
      </c>
      <c r="FZ9" t="e">
        <f>AND('Application, cook'!J39,"AAAAAHY9/7U=")</f>
        <v>#VALUE!</v>
      </c>
      <c r="GA9" t="e">
        <f>AND('Application, cook'!K39,"AAAAAHY9/7Y=")</f>
        <v>#VALUE!</v>
      </c>
      <c r="GB9" t="e">
        <f>AND('Application, cook'!L39,"AAAAAHY9/7c=")</f>
        <v>#VALUE!</v>
      </c>
      <c r="GC9" t="e">
        <f>AND('Application, cook'!M39,"AAAAAHY9/7g=")</f>
        <v>#VALUE!</v>
      </c>
      <c r="GD9" t="e">
        <f>AND('Application, cook'!N39,"AAAAAHY9/7k=")</f>
        <v>#VALUE!</v>
      </c>
      <c r="GE9">
        <f>IF('Application, cook'!40:40,"AAAAAHY9/7o=",0)</f>
        <v>0</v>
      </c>
      <c r="GF9" t="e">
        <f>AND('Application, cook'!A40,"AAAAAHY9/7s=")</f>
        <v>#VALUE!</v>
      </c>
      <c r="GG9" t="e">
        <f>AND('Application, cook'!B40,"AAAAAHY9/7w=")</f>
        <v>#VALUE!</v>
      </c>
      <c r="GH9" t="e">
        <f>AND('Application, cook'!C40,"AAAAAHY9/70=")</f>
        <v>#VALUE!</v>
      </c>
      <c r="GI9" t="e">
        <f>AND('Application, cook'!D40,"AAAAAHY9/74=")</f>
        <v>#VALUE!</v>
      </c>
      <c r="GJ9" t="e">
        <f>AND('Application, cook'!E40,"AAAAAHY9/78=")</f>
        <v>#VALUE!</v>
      </c>
      <c r="GK9" t="e">
        <f>AND('Application, cook'!F40,"AAAAAHY9/8A=")</f>
        <v>#VALUE!</v>
      </c>
      <c r="GL9" t="e">
        <f>AND('Application, cook'!G40,"AAAAAHY9/8E=")</f>
        <v>#VALUE!</v>
      </c>
      <c r="GM9" t="e">
        <f>AND('Application, cook'!H40,"AAAAAHY9/8I=")</f>
        <v>#VALUE!</v>
      </c>
      <c r="GN9" t="e">
        <f>AND('Application, cook'!I40,"AAAAAHY9/8M=")</f>
        <v>#VALUE!</v>
      </c>
      <c r="GO9" t="e">
        <f>AND('Application, cook'!J40,"AAAAAHY9/8Q=")</f>
        <v>#VALUE!</v>
      </c>
      <c r="GP9" t="e">
        <f>AND('Application, cook'!K40,"AAAAAHY9/8U=")</f>
        <v>#VALUE!</v>
      </c>
      <c r="GQ9" t="e">
        <f>AND('Application, cook'!L40,"AAAAAHY9/8Y=")</f>
        <v>#VALUE!</v>
      </c>
      <c r="GR9" t="e">
        <f>AND('Application, cook'!M40,"AAAAAHY9/8c=")</f>
        <v>#VALUE!</v>
      </c>
      <c r="GS9" t="e">
        <f>AND('Application, cook'!N40,"AAAAAHY9/8g=")</f>
        <v>#VALUE!</v>
      </c>
      <c r="GT9">
        <f>IF('Application, cook'!41:41,"AAAAAHY9/8k=",0)</f>
        <v>0</v>
      </c>
      <c r="GU9" t="e">
        <f>AND('Application, cook'!A41,"AAAAAHY9/8o=")</f>
        <v>#VALUE!</v>
      </c>
      <c r="GV9" t="e">
        <f>AND('Application, cook'!B41,"AAAAAHY9/8s=")</f>
        <v>#VALUE!</v>
      </c>
      <c r="GW9" t="e">
        <f>AND('Application, cook'!C41,"AAAAAHY9/8w=")</f>
        <v>#VALUE!</v>
      </c>
      <c r="GX9" t="e">
        <f>AND('Application, cook'!D41,"AAAAAHY9/80=")</f>
        <v>#VALUE!</v>
      </c>
      <c r="GY9" t="e">
        <f>AND('Application, cook'!E41,"AAAAAHY9/84=")</f>
        <v>#VALUE!</v>
      </c>
      <c r="GZ9" t="e">
        <f>AND('Application, cook'!F41,"AAAAAHY9/88=")</f>
        <v>#VALUE!</v>
      </c>
      <c r="HA9" t="e">
        <f>AND('Application, cook'!G41,"AAAAAHY9/9A=")</f>
        <v>#VALUE!</v>
      </c>
      <c r="HB9" t="e">
        <f>AND('Application, cook'!H41,"AAAAAHY9/9E=")</f>
        <v>#VALUE!</v>
      </c>
      <c r="HC9" t="e">
        <f>AND('Application, cook'!I41,"AAAAAHY9/9I=")</f>
        <v>#VALUE!</v>
      </c>
      <c r="HD9" t="e">
        <f>AND('Application, cook'!J41,"AAAAAHY9/9M=")</f>
        <v>#VALUE!</v>
      </c>
      <c r="HE9" t="e">
        <f>AND('Application, cook'!K41,"AAAAAHY9/9Q=")</f>
        <v>#VALUE!</v>
      </c>
      <c r="HF9" t="e">
        <f>AND('Application, cook'!L41,"AAAAAHY9/9U=")</f>
        <v>#VALUE!</v>
      </c>
      <c r="HG9" t="e">
        <f>AND('Application, cook'!M41,"AAAAAHY9/9Y=")</f>
        <v>#VALUE!</v>
      </c>
      <c r="HH9" t="e">
        <f>AND('Application, cook'!N41,"AAAAAHY9/9c=")</f>
        <v>#VALUE!</v>
      </c>
      <c r="HI9">
        <f>IF('Application, cook'!42:42,"AAAAAHY9/9g=",0)</f>
        <v>0</v>
      </c>
      <c r="HJ9" t="e">
        <f>AND('Application, cook'!A42,"AAAAAHY9/9k=")</f>
        <v>#VALUE!</v>
      </c>
      <c r="HK9" t="e">
        <f>AND('Application, cook'!B42,"AAAAAHY9/9o=")</f>
        <v>#VALUE!</v>
      </c>
      <c r="HL9" t="e">
        <f>AND('Application, cook'!C42,"AAAAAHY9/9s=")</f>
        <v>#VALUE!</v>
      </c>
      <c r="HM9" t="e">
        <f>AND('Application, cook'!D42,"AAAAAHY9/9w=")</f>
        <v>#VALUE!</v>
      </c>
      <c r="HN9" t="e">
        <f>AND('Application, cook'!E42,"AAAAAHY9/90=")</f>
        <v>#VALUE!</v>
      </c>
      <c r="HO9" t="e">
        <f>AND('Application, cook'!F42,"AAAAAHY9/94=")</f>
        <v>#VALUE!</v>
      </c>
      <c r="HP9" t="e">
        <f>AND('Application, cook'!G42,"AAAAAHY9/98=")</f>
        <v>#VALUE!</v>
      </c>
      <c r="HQ9" t="e">
        <f>AND('Application, cook'!H42,"AAAAAHY9/+A=")</f>
        <v>#VALUE!</v>
      </c>
      <c r="HR9" t="e">
        <f>AND('Application, cook'!I42,"AAAAAHY9/+E=")</f>
        <v>#VALUE!</v>
      </c>
      <c r="HS9" t="e">
        <f>AND('Application, cook'!J42,"AAAAAHY9/+I=")</f>
        <v>#VALUE!</v>
      </c>
      <c r="HT9" t="e">
        <f>AND('Application, cook'!K42,"AAAAAHY9/+M=")</f>
        <v>#VALUE!</v>
      </c>
      <c r="HU9" t="e">
        <f>AND('Application, cook'!L42,"AAAAAHY9/+Q=")</f>
        <v>#VALUE!</v>
      </c>
      <c r="HV9" t="e">
        <f>AND('Application, cook'!M42,"AAAAAHY9/+U=")</f>
        <v>#VALUE!</v>
      </c>
      <c r="HW9" t="e">
        <f>AND('Application, cook'!N42,"AAAAAHY9/+Y=")</f>
        <v>#VALUE!</v>
      </c>
      <c r="HX9">
        <f>IF('Application, cook'!43:43,"AAAAAHY9/+c=",0)</f>
        <v>0</v>
      </c>
      <c r="HY9" t="e">
        <f>AND('Application, cook'!A43,"AAAAAHY9/+g=")</f>
        <v>#VALUE!</v>
      </c>
      <c r="HZ9" t="e">
        <f>AND('Application, cook'!B43,"AAAAAHY9/+k=")</f>
        <v>#VALUE!</v>
      </c>
      <c r="IA9" t="e">
        <f>AND('Application, cook'!C43,"AAAAAHY9/+o=")</f>
        <v>#VALUE!</v>
      </c>
      <c r="IB9" t="e">
        <f>AND('Application, cook'!D43,"AAAAAHY9/+s=")</f>
        <v>#VALUE!</v>
      </c>
      <c r="IC9" t="e">
        <f>AND('Application, cook'!E43,"AAAAAHY9/+w=")</f>
        <v>#VALUE!</v>
      </c>
      <c r="ID9" t="e">
        <f>AND('Application, cook'!F43,"AAAAAHY9/+0=")</f>
        <v>#VALUE!</v>
      </c>
      <c r="IE9" t="e">
        <f>AND('Application, cook'!G43,"AAAAAHY9/+4=")</f>
        <v>#VALUE!</v>
      </c>
      <c r="IF9" t="e">
        <f>AND('Application, cook'!H43,"AAAAAHY9/+8=")</f>
        <v>#VALUE!</v>
      </c>
      <c r="IG9" t="e">
        <f>AND('Application, cook'!I43,"AAAAAHY9//A=")</f>
        <v>#VALUE!</v>
      </c>
      <c r="IH9" t="e">
        <f>AND('Application, cook'!J43,"AAAAAHY9//E=")</f>
        <v>#VALUE!</v>
      </c>
      <c r="II9" t="e">
        <f>AND('Application, cook'!K43,"AAAAAHY9//I=")</f>
        <v>#VALUE!</v>
      </c>
      <c r="IJ9" t="e">
        <f>AND('Application, cook'!L43,"AAAAAHY9//M=")</f>
        <v>#VALUE!</v>
      </c>
      <c r="IK9" t="e">
        <f>AND('Application, cook'!M43,"AAAAAHY9//Q=")</f>
        <v>#VALUE!</v>
      </c>
      <c r="IL9" t="e">
        <f>AND('Application, cook'!N43,"AAAAAHY9//U=")</f>
        <v>#VALUE!</v>
      </c>
      <c r="IM9">
        <f>IF('Application, cook'!44:44,"AAAAAHY9//Y=",0)</f>
        <v>0</v>
      </c>
      <c r="IN9" t="e">
        <f>AND('Application, cook'!A44,"AAAAAHY9//c=")</f>
        <v>#VALUE!</v>
      </c>
      <c r="IO9" t="e">
        <f>AND('Application, cook'!B44,"AAAAAHY9//g=")</f>
        <v>#VALUE!</v>
      </c>
      <c r="IP9" t="e">
        <f>AND('Application, cook'!C44,"AAAAAHY9//k=")</f>
        <v>#VALUE!</v>
      </c>
      <c r="IQ9" t="e">
        <f>AND('Application, cook'!D44,"AAAAAHY9//o=")</f>
        <v>#VALUE!</v>
      </c>
      <c r="IR9" t="e">
        <f>AND('Application, cook'!E44,"AAAAAHY9//s=")</f>
        <v>#VALUE!</v>
      </c>
      <c r="IS9" t="e">
        <f>AND('Application, cook'!F44,"AAAAAHY9//w=")</f>
        <v>#VALUE!</v>
      </c>
      <c r="IT9" t="e">
        <f>AND('Application, cook'!G44,"AAAAAHY9//0=")</f>
        <v>#VALUE!</v>
      </c>
      <c r="IU9" t="e">
        <f>AND('Application, cook'!H44,"AAAAAHY9//4=")</f>
        <v>#VALUE!</v>
      </c>
      <c r="IV9" t="e">
        <f>AND('Application, cook'!I44,"AAAAAHY9//8=")</f>
        <v>#VALUE!</v>
      </c>
    </row>
    <row r="10" spans="1:256" ht="12.75">
      <c r="A10" t="e">
        <f>AND('Application, cook'!J44,"AAAAAH/3VgA=")</f>
        <v>#VALUE!</v>
      </c>
      <c r="B10" t="e">
        <f>AND('Application, cook'!K44,"AAAAAH/3VgE=")</f>
        <v>#VALUE!</v>
      </c>
      <c r="C10" t="e">
        <f>AND('Application, cook'!L44,"AAAAAH/3VgI=")</f>
        <v>#VALUE!</v>
      </c>
      <c r="D10" t="e">
        <f>AND('Application, cook'!M44,"AAAAAH/3VgM=")</f>
        <v>#VALUE!</v>
      </c>
      <c r="E10" t="e">
        <f>AND('Application, cook'!N44,"AAAAAH/3VgQ=")</f>
        <v>#VALUE!</v>
      </c>
      <c r="F10">
        <f>IF('Application, cook'!45:45,"AAAAAH/3VgU=",0)</f>
        <v>0</v>
      </c>
      <c r="G10" t="e">
        <f>AND('Application, cook'!A45,"AAAAAH/3VgY=")</f>
        <v>#VALUE!</v>
      </c>
      <c r="H10" t="e">
        <f>AND('Application, cook'!B45,"AAAAAH/3Vgc=")</f>
        <v>#VALUE!</v>
      </c>
      <c r="I10" t="e">
        <f>AND('Application, cook'!C45,"AAAAAH/3Vgg=")</f>
        <v>#VALUE!</v>
      </c>
      <c r="J10" t="e">
        <f>AND('Application, cook'!D45,"AAAAAH/3Vgk=")</f>
        <v>#VALUE!</v>
      </c>
      <c r="K10" t="e">
        <f>AND('Application, cook'!E45,"AAAAAH/3Vgo=")</f>
        <v>#VALUE!</v>
      </c>
      <c r="L10" t="e">
        <f>AND('Application, cook'!F45,"AAAAAH/3Vgs=")</f>
        <v>#VALUE!</v>
      </c>
      <c r="M10" t="e">
        <f>AND('Application, cook'!G45,"AAAAAH/3Vgw=")</f>
        <v>#VALUE!</v>
      </c>
      <c r="N10" t="e">
        <f>AND('Application, cook'!H45,"AAAAAH/3Vg0=")</f>
        <v>#VALUE!</v>
      </c>
      <c r="O10" t="e">
        <f>AND('Application, cook'!I45,"AAAAAH/3Vg4=")</f>
        <v>#VALUE!</v>
      </c>
      <c r="P10" t="e">
        <f>AND('Application, cook'!J45,"AAAAAH/3Vg8=")</f>
        <v>#VALUE!</v>
      </c>
      <c r="Q10" t="e">
        <f>AND('Application, cook'!K45,"AAAAAH/3VhA=")</f>
        <v>#VALUE!</v>
      </c>
      <c r="R10" t="e">
        <f>AND('Application, cook'!L45,"AAAAAH/3VhE=")</f>
        <v>#VALUE!</v>
      </c>
      <c r="S10" t="e">
        <f>AND('Application, cook'!M45,"AAAAAH/3VhI=")</f>
        <v>#VALUE!</v>
      </c>
      <c r="T10" t="e">
        <f>AND('Application, cook'!N45,"AAAAAH/3VhM=")</f>
        <v>#VALUE!</v>
      </c>
      <c r="U10">
        <f>IF('Application, cook'!46:46,"AAAAAH/3VhQ=",0)</f>
        <v>0</v>
      </c>
      <c r="V10" t="e">
        <f>AND('Application, cook'!A46,"AAAAAH/3VhU=")</f>
        <v>#VALUE!</v>
      </c>
      <c r="W10" t="e">
        <f>AND('Application, cook'!B46,"AAAAAH/3VhY=")</f>
        <v>#VALUE!</v>
      </c>
      <c r="X10" t="e">
        <f>AND('Application, cook'!C46,"AAAAAH/3Vhc=")</f>
        <v>#VALUE!</v>
      </c>
      <c r="Y10" t="e">
        <f>AND('Application, cook'!D46,"AAAAAH/3Vhg=")</f>
        <v>#VALUE!</v>
      </c>
      <c r="Z10" t="e">
        <f>AND('Application, cook'!E46,"AAAAAH/3Vhk=")</f>
        <v>#VALUE!</v>
      </c>
      <c r="AA10" t="e">
        <f>AND('Application, cook'!F46,"AAAAAH/3Vho=")</f>
        <v>#VALUE!</v>
      </c>
      <c r="AB10" t="e">
        <f>AND('Application, cook'!G46,"AAAAAH/3Vhs=")</f>
        <v>#VALUE!</v>
      </c>
      <c r="AC10" t="e">
        <f>AND('Application, cook'!H46,"AAAAAH/3Vhw=")</f>
        <v>#VALUE!</v>
      </c>
      <c r="AD10" t="e">
        <f>AND('Application, cook'!I46,"AAAAAH/3Vh0=")</f>
        <v>#VALUE!</v>
      </c>
      <c r="AE10" t="e">
        <f>AND('Application, cook'!J46,"AAAAAH/3Vh4=")</f>
        <v>#VALUE!</v>
      </c>
      <c r="AF10" t="e">
        <f>AND('Application, cook'!K46,"AAAAAH/3Vh8=")</f>
        <v>#VALUE!</v>
      </c>
      <c r="AG10" t="e">
        <f>AND('Application, cook'!L46,"AAAAAH/3ViA=")</f>
        <v>#VALUE!</v>
      </c>
      <c r="AH10" t="e">
        <f>AND('Application, cook'!M46,"AAAAAH/3ViE=")</f>
        <v>#VALUE!</v>
      </c>
      <c r="AI10" t="e">
        <f>AND('Application, cook'!N46,"AAAAAH/3ViI=")</f>
        <v>#VALUE!</v>
      </c>
      <c r="AJ10">
        <f>IF('Application, cook'!47:47,"AAAAAH/3ViM=",0)</f>
        <v>0</v>
      </c>
      <c r="AK10" t="e">
        <f>AND('Application, cook'!A47,"AAAAAH/3ViQ=")</f>
        <v>#VALUE!</v>
      </c>
      <c r="AL10" t="e">
        <f>AND('Application, cook'!B47,"AAAAAH/3ViU=")</f>
        <v>#VALUE!</v>
      </c>
      <c r="AM10" t="e">
        <f>AND('Application, cook'!C47,"AAAAAH/3ViY=")</f>
        <v>#VALUE!</v>
      </c>
      <c r="AN10" t="e">
        <f>AND('Application, cook'!D47,"AAAAAH/3Vic=")</f>
        <v>#VALUE!</v>
      </c>
      <c r="AO10" t="e">
        <f>AND('Application, cook'!E47,"AAAAAH/3Vig=")</f>
        <v>#VALUE!</v>
      </c>
      <c r="AP10" t="e">
        <f>AND('Application, cook'!F47,"AAAAAH/3Vik=")</f>
        <v>#VALUE!</v>
      </c>
      <c r="AQ10" t="e">
        <f>AND('Application, cook'!G47,"AAAAAH/3Vio=")</f>
        <v>#VALUE!</v>
      </c>
      <c r="AR10" t="e">
        <f>AND('Application, cook'!H47,"AAAAAH/3Vis=")</f>
        <v>#VALUE!</v>
      </c>
      <c r="AS10" t="e">
        <f>AND('Application, cook'!I47,"AAAAAH/3Viw=")</f>
        <v>#VALUE!</v>
      </c>
      <c r="AT10" t="e">
        <f>AND('Application, cook'!J47,"AAAAAH/3Vi0=")</f>
        <v>#VALUE!</v>
      </c>
      <c r="AU10" t="e">
        <f>AND('Application, cook'!K47,"AAAAAH/3Vi4=")</f>
        <v>#VALUE!</v>
      </c>
      <c r="AV10" t="e">
        <f>AND('Application, cook'!L47,"AAAAAH/3Vi8=")</f>
        <v>#VALUE!</v>
      </c>
      <c r="AW10" t="e">
        <f>AND('Application, cook'!M47,"AAAAAH/3VjA=")</f>
        <v>#VALUE!</v>
      </c>
      <c r="AX10" t="e">
        <f>AND('Application, cook'!N47,"AAAAAH/3VjE=")</f>
        <v>#VALUE!</v>
      </c>
      <c r="AY10">
        <f>IF('Application, cook'!48:48,"AAAAAH/3VjI=",0)</f>
        <v>0</v>
      </c>
      <c r="AZ10" t="e">
        <f>AND('Application, cook'!A48,"AAAAAH/3VjM=")</f>
        <v>#VALUE!</v>
      </c>
      <c r="BA10" t="e">
        <f>AND('Application, cook'!B48,"AAAAAH/3VjQ=")</f>
        <v>#VALUE!</v>
      </c>
      <c r="BB10" t="e">
        <f>AND('Application, cook'!C48,"AAAAAH/3VjU=")</f>
        <v>#VALUE!</v>
      </c>
      <c r="BC10" t="e">
        <f>AND('Application, cook'!D48,"AAAAAH/3VjY=")</f>
        <v>#VALUE!</v>
      </c>
      <c r="BD10" t="e">
        <f>AND('Application, cook'!E48,"AAAAAH/3Vjc=")</f>
        <v>#VALUE!</v>
      </c>
      <c r="BE10" t="e">
        <f>AND('Application, cook'!F48,"AAAAAH/3Vjg=")</f>
        <v>#VALUE!</v>
      </c>
      <c r="BF10" t="e">
        <f>AND('Application, cook'!G48,"AAAAAH/3Vjk=")</f>
        <v>#VALUE!</v>
      </c>
      <c r="BG10" t="e">
        <f>AND('Application, cook'!H48,"AAAAAH/3Vjo=")</f>
        <v>#VALUE!</v>
      </c>
      <c r="BH10" t="e">
        <f>AND('Application, cook'!I48,"AAAAAH/3Vjs=")</f>
        <v>#VALUE!</v>
      </c>
      <c r="BI10" t="e">
        <f>AND('Application, cook'!J48,"AAAAAH/3Vjw=")</f>
        <v>#VALUE!</v>
      </c>
      <c r="BJ10" t="e">
        <f>AND('Application, cook'!K48,"AAAAAH/3Vj0=")</f>
        <v>#VALUE!</v>
      </c>
      <c r="BK10" t="e">
        <f>AND('Application, cook'!L48,"AAAAAH/3Vj4=")</f>
        <v>#VALUE!</v>
      </c>
      <c r="BL10" t="e">
        <f>AND('Application, cook'!M48,"AAAAAH/3Vj8=")</f>
        <v>#VALUE!</v>
      </c>
      <c r="BM10" t="e">
        <f>AND('Application, cook'!N48,"AAAAAH/3VkA=")</f>
        <v>#VALUE!</v>
      </c>
      <c r="BN10">
        <f>IF('Application, cook'!49:49,"AAAAAH/3VkE=",0)</f>
        <v>0</v>
      </c>
      <c r="BO10" t="e">
        <f>AND('Application, cook'!A49,"AAAAAH/3VkI=")</f>
        <v>#VALUE!</v>
      </c>
      <c r="BP10" t="e">
        <f>AND('Application, cook'!B49,"AAAAAH/3VkM=")</f>
        <v>#VALUE!</v>
      </c>
      <c r="BQ10" t="e">
        <f>AND('Application, cook'!C49,"AAAAAH/3VkQ=")</f>
        <v>#VALUE!</v>
      </c>
      <c r="BR10" t="e">
        <f>AND('Application, cook'!D49,"AAAAAH/3VkU=")</f>
        <v>#VALUE!</v>
      </c>
      <c r="BS10" t="e">
        <f>AND('Application, cook'!E49,"AAAAAH/3VkY=")</f>
        <v>#VALUE!</v>
      </c>
      <c r="BT10" t="e">
        <f>AND('Application, cook'!F49,"AAAAAH/3Vkc=")</f>
        <v>#VALUE!</v>
      </c>
      <c r="BU10" t="e">
        <f>AND('Application, cook'!G49,"AAAAAH/3Vkg=")</f>
        <v>#VALUE!</v>
      </c>
      <c r="BV10" t="e">
        <f>AND('Application, cook'!H49,"AAAAAH/3Vkk=")</f>
        <v>#VALUE!</v>
      </c>
      <c r="BW10" t="e">
        <f>AND('Application, cook'!I49,"AAAAAH/3Vko=")</f>
        <v>#VALUE!</v>
      </c>
      <c r="BX10" t="e">
        <f>AND('Application, cook'!J49,"AAAAAH/3Vks=")</f>
        <v>#VALUE!</v>
      </c>
      <c r="BY10" t="e">
        <f>AND('Application, cook'!K49,"AAAAAH/3Vkw=")</f>
        <v>#VALUE!</v>
      </c>
      <c r="BZ10" t="e">
        <f>AND('Application, cook'!L49,"AAAAAH/3Vk0=")</f>
        <v>#VALUE!</v>
      </c>
      <c r="CA10" t="e">
        <f>AND('Application, cook'!M49,"AAAAAH/3Vk4=")</f>
        <v>#VALUE!</v>
      </c>
      <c r="CB10" t="e">
        <f>AND('Application, cook'!N49,"AAAAAH/3Vk8=")</f>
        <v>#VALUE!</v>
      </c>
      <c r="CC10">
        <f>IF('Application, cook'!50:50,"AAAAAH/3VlA=",0)</f>
        <v>0</v>
      </c>
      <c r="CD10" t="e">
        <f>AND('Application, cook'!A50,"AAAAAH/3VlE=")</f>
        <v>#VALUE!</v>
      </c>
      <c r="CE10" t="e">
        <f>AND('Application, cook'!B50,"AAAAAH/3VlI=")</f>
        <v>#VALUE!</v>
      </c>
      <c r="CF10" t="e">
        <f>AND('Application, cook'!C50,"AAAAAH/3VlM=")</f>
        <v>#VALUE!</v>
      </c>
      <c r="CG10" t="e">
        <f>AND('Application, cook'!D50,"AAAAAH/3VlQ=")</f>
        <v>#VALUE!</v>
      </c>
      <c r="CH10" t="e">
        <f>AND('Application, cook'!E50,"AAAAAH/3VlU=")</f>
        <v>#VALUE!</v>
      </c>
      <c r="CI10" t="e">
        <f>AND('Application, cook'!F50,"AAAAAH/3VlY=")</f>
        <v>#VALUE!</v>
      </c>
      <c r="CJ10" t="e">
        <f>AND('Application, cook'!G50,"AAAAAH/3Vlc=")</f>
        <v>#VALUE!</v>
      </c>
      <c r="CK10" t="e">
        <f>AND('Application, cook'!H50,"AAAAAH/3Vlg=")</f>
        <v>#VALUE!</v>
      </c>
      <c r="CL10" t="e">
        <f>AND('Application, cook'!I50,"AAAAAH/3Vlk=")</f>
        <v>#VALUE!</v>
      </c>
      <c r="CM10" t="e">
        <f>AND('Application, cook'!J50,"AAAAAH/3Vlo=")</f>
        <v>#VALUE!</v>
      </c>
      <c r="CN10" t="e">
        <f>AND('Application, cook'!K50,"AAAAAH/3Vls=")</f>
        <v>#VALUE!</v>
      </c>
      <c r="CO10" t="e">
        <f>AND('Application, cook'!L50,"AAAAAH/3Vlw=")</f>
        <v>#VALUE!</v>
      </c>
      <c r="CP10" t="e">
        <f>AND('Application, cook'!M50,"AAAAAH/3Vl0=")</f>
        <v>#VALUE!</v>
      </c>
      <c r="CQ10" t="e">
        <f>AND('Application, cook'!N50,"AAAAAH/3Vl4=")</f>
        <v>#VALUE!</v>
      </c>
      <c r="CR10">
        <f>IF('Application, cook'!51:51,"AAAAAH/3Vl8=",0)</f>
        <v>0</v>
      </c>
      <c r="CS10" t="e">
        <f>AND('Application, cook'!A51,"AAAAAH/3VmA=")</f>
        <v>#VALUE!</v>
      </c>
      <c r="CT10" t="e">
        <f>AND('Application, cook'!B51,"AAAAAH/3VmE=")</f>
        <v>#VALUE!</v>
      </c>
      <c r="CU10" t="e">
        <f>AND('Application, cook'!C51,"AAAAAH/3VmI=")</f>
        <v>#VALUE!</v>
      </c>
      <c r="CV10" t="e">
        <f>AND('Application, cook'!D51,"AAAAAH/3VmM=")</f>
        <v>#VALUE!</v>
      </c>
      <c r="CW10" t="e">
        <f>AND('Application, cook'!E51,"AAAAAH/3VmQ=")</f>
        <v>#VALUE!</v>
      </c>
      <c r="CX10" t="e">
        <f>AND('Application, cook'!F51,"AAAAAH/3VmU=")</f>
        <v>#VALUE!</v>
      </c>
      <c r="CY10" t="e">
        <f>AND('Application, cook'!G51,"AAAAAH/3VmY=")</f>
        <v>#VALUE!</v>
      </c>
      <c r="CZ10" t="e">
        <f>AND('Application, cook'!H51,"AAAAAH/3Vmc=")</f>
        <v>#VALUE!</v>
      </c>
      <c r="DA10" t="e">
        <f>AND('Application, cook'!I51,"AAAAAH/3Vmg=")</f>
        <v>#VALUE!</v>
      </c>
      <c r="DB10" t="e">
        <f>AND('Application, cook'!J51,"AAAAAH/3Vmk=")</f>
        <v>#VALUE!</v>
      </c>
      <c r="DC10" t="e">
        <f>AND('Application, cook'!K51,"AAAAAH/3Vmo=")</f>
        <v>#VALUE!</v>
      </c>
      <c r="DD10" t="e">
        <f>AND('Application, cook'!L51,"AAAAAH/3Vms=")</f>
        <v>#VALUE!</v>
      </c>
      <c r="DE10" t="e">
        <f>AND('Application, cook'!M51,"AAAAAH/3Vmw=")</f>
        <v>#VALUE!</v>
      </c>
      <c r="DF10" t="e">
        <f>AND('Application, cook'!N51,"AAAAAH/3Vm0=")</f>
        <v>#VALUE!</v>
      </c>
      <c r="DG10">
        <f>IF('Application, cook'!52:52,"AAAAAH/3Vm4=",0)</f>
        <v>0</v>
      </c>
      <c r="DH10" t="e">
        <f>AND('Application, cook'!A52,"AAAAAH/3Vm8=")</f>
        <v>#VALUE!</v>
      </c>
      <c r="DI10" t="e">
        <f>AND('Application, cook'!B52,"AAAAAH/3VnA=")</f>
        <v>#VALUE!</v>
      </c>
      <c r="DJ10" t="e">
        <f>AND('Application, cook'!C52,"AAAAAH/3VnE=")</f>
        <v>#VALUE!</v>
      </c>
      <c r="DK10" t="e">
        <f>AND('Application, cook'!D52,"AAAAAH/3VnI=")</f>
        <v>#VALUE!</v>
      </c>
      <c r="DL10" t="e">
        <f>AND('Application, cook'!E52,"AAAAAH/3VnM=")</f>
        <v>#VALUE!</v>
      </c>
      <c r="DM10" t="e">
        <f>AND('Application, cook'!F52,"AAAAAH/3VnQ=")</f>
        <v>#VALUE!</v>
      </c>
      <c r="DN10" t="e">
        <f>AND('Application, cook'!G52,"AAAAAH/3VnU=")</f>
        <v>#VALUE!</v>
      </c>
      <c r="DO10" t="e">
        <f>AND('Application, cook'!H52,"AAAAAH/3VnY=")</f>
        <v>#VALUE!</v>
      </c>
      <c r="DP10" t="e">
        <f>AND('Application, cook'!I52,"AAAAAH/3Vnc=")</f>
        <v>#VALUE!</v>
      </c>
      <c r="DQ10" t="e">
        <f>AND('Application, cook'!J52,"AAAAAH/3Vng=")</f>
        <v>#VALUE!</v>
      </c>
      <c r="DR10" t="e">
        <f>AND('Application, cook'!K52,"AAAAAH/3Vnk=")</f>
        <v>#VALUE!</v>
      </c>
      <c r="DS10" t="e">
        <f>AND('Application, cook'!L52,"AAAAAH/3Vno=")</f>
        <v>#VALUE!</v>
      </c>
      <c r="DT10" t="e">
        <f>AND('Application, cook'!M52,"AAAAAH/3Vns=")</f>
        <v>#VALUE!</v>
      </c>
      <c r="DU10" t="e">
        <f>AND('Application, cook'!N52,"AAAAAH/3Vnw=")</f>
        <v>#VALUE!</v>
      </c>
      <c r="DV10">
        <f>IF('Application, cook'!53:53,"AAAAAH/3Vn0=",0)</f>
        <v>0</v>
      </c>
      <c r="DW10" t="e">
        <f>AND('Application, cook'!A53,"AAAAAH/3Vn4=")</f>
        <v>#VALUE!</v>
      </c>
      <c r="DX10" t="e">
        <f>AND('Application, cook'!B53,"AAAAAH/3Vn8=")</f>
        <v>#VALUE!</v>
      </c>
      <c r="DY10" t="e">
        <f>AND('Application, cook'!C53,"AAAAAH/3VoA=")</f>
        <v>#VALUE!</v>
      </c>
      <c r="DZ10" t="e">
        <f>AND('Application, cook'!D53,"AAAAAH/3VoE=")</f>
        <v>#VALUE!</v>
      </c>
      <c r="EA10" t="e">
        <f>AND('Application, cook'!E53,"AAAAAH/3VoI=")</f>
        <v>#VALUE!</v>
      </c>
      <c r="EB10" t="e">
        <f>AND('Application, cook'!F53,"AAAAAH/3VoM=")</f>
        <v>#VALUE!</v>
      </c>
      <c r="EC10" t="e">
        <f>AND('Application, cook'!G53,"AAAAAH/3VoQ=")</f>
        <v>#VALUE!</v>
      </c>
      <c r="ED10" t="e">
        <f>AND('Application, cook'!H53,"AAAAAH/3VoU=")</f>
        <v>#VALUE!</v>
      </c>
      <c r="EE10" t="e">
        <f>AND('Application, cook'!I53,"AAAAAH/3VoY=")</f>
        <v>#VALUE!</v>
      </c>
      <c r="EF10" t="e">
        <f>AND('Application, cook'!J53,"AAAAAH/3Voc=")</f>
        <v>#VALUE!</v>
      </c>
      <c r="EG10" t="e">
        <f>AND('Application, cook'!K53,"AAAAAH/3Vog=")</f>
        <v>#VALUE!</v>
      </c>
      <c r="EH10" t="e">
        <f>AND('Application, cook'!L53,"AAAAAH/3Vok=")</f>
        <v>#VALUE!</v>
      </c>
      <c r="EI10" t="e">
        <f>AND('Application, cook'!M53,"AAAAAH/3Voo=")</f>
        <v>#VALUE!</v>
      </c>
      <c r="EJ10" t="e">
        <f>AND('Application, cook'!N53,"AAAAAH/3Vos=")</f>
        <v>#VALUE!</v>
      </c>
      <c r="EK10">
        <f>IF('Application, cook'!54:54,"AAAAAH/3Vow=",0)</f>
        <v>0</v>
      </c>
      <c r="EL10" t="e">
        <f>AND('Application, cook'!A54,"AAAAAH/3Vo0=")</f>
        <v>#VALUE!</v>
      </c>
      <c r="EM10" t="e">
        <f>AND('Application, cook'!B54,"AAAAAH/3Vo4=")</f>
        <v>#VALUE!</v>
      </c>
      <c r="EN10" t="e">
        <f>AND('Application, cook'!C54,"AAAAAH/3Vo8=")</f>
        <v>#VALUE!</v>
      </c>
      <c r="EO10" t="e">
        <f>AND('Application, cook'!D54,"AAAAAH/3VpA=")</f>
        <v>#VALUE!</v>
      </c>
      <c r="EP10" t="e">
        <f>AND('Application, cook'!E54,"AAAAAH/3VpE=")</f>
        <v>#VALUE!</v>
      </c>
      <c r="EQ10" t="e">
        <f>AND('Application, cook'!F54,"AAAAAH/3VpI=")</f>
        <v>#VALUE!</v>
      </c>
      <c r="ER10" t="e">
        <f>AND('Application, cook'!G54,"AAAAAH/3VpM=")</f>
        <v>#VALUE!</v>
      </c>
      <c r="ES10" t="e">
        <f>AND('Application, cook'!H54,"AAAAAH/3VpQ=")</f>
        <v>#VALUE!</v>
      </c>
      <c r="ET10" t="e">
        <f>AND('Application, cook'!I54,"AAAAAH/3VpU=")</f>
        <v>#VALUE!</v>
      </c>
      <c r="EU10" t="e">
        <f>AND('Application, cook'!J54,"AAAAAH/3VpY=")</f>
        <v>#VALUE!</v>
      </c>
      <c r="EV10" t="e">
        <f>AND('Application, cook'!K54,"AAAAAH/3Vpc=")</f>
        <v>#VALUE!</v>
      </c>
      <c r="EW10" t="e">
        <f>AND('Application, cook'!L54,"AAAAAH/3Vpg=")</f>
        <v>#VALUE!</v>
      </c>
      <c r="EX10" t="e">
        <f>AND('Application, cook'!M54,"AAAAAH/3Vpk=")</f>
        <v>#VALUE!</v>
      </c>
      <c r="EY10" t="e">
        <f>AND('Application, cook'!N54,"AAAAAH/3Vpo=")</f>
        <v>#VALUE!</v>
      </c>
      <c r="EZ10">
        <f>IF('Application, cook'!55:55,"AAAAAH/3Vps=",0)</f>
        <v>0</v>
      </c>
      <c r="FA10" t="e">
        <f>AND('Application, cook'!A55,"AAAAAH/3Vpw=")</f>
        <v>#VALUE!</v>
      </c>
      <c r="FB10" t="e">
        <f>AND('Application, cook'!B55,"AAAAAH/3Vp0=")</f>
        <v>#VALUE!</v>
      </c>
      <c r="FC10" t="e">
        <f>AND('Application, cook'!C55,"AAAAAH/3Vp4=")</f>
        <v>#VALUE!</v>
      </c>
      <c r="FD10" t="e">
        <f>AND('Application, cook'!D55,"AAAAAH/3Vp8=")</f>
        <v>#VALUE!</v>
      </c>
      <c r="FE10" t="e">
        <f>AND('Application, cook'!E55,"AAAAAH/3VqA=")</f>
        <v>#VALUE!</v>
      </c>
      <c r="FF10" t="e">
        <f>AND('Application, cook'!F55,"AAAAAH/3VqE=")</f>
        <v>#VALUE!</v>
      </c>
      <c r="FG10" t="e">
        <f>AND('Application, cook'!G55,"AAAAAH/3VqI=")</f>
        <v>#VALUE!</v>
      </c>
      <c r="FH10" t="e">
        <f>AND('Application, cook'!H55,"AAAAAH/3VqM=")</f>
        <v>#VALUE!</v>
      </c>
      <c r="FI10" t="e">
        <f>AND('Application, cook'!I55,"AAAAAH/3VqQ=")</f>
        <v>#VALUE!</v>
      </c>
      <c r="FJ10" t="e">
        <f>AND('Application, cook'!J55,"AAAAAH/3VqU=")</f>
        <v>#VALUE!</v>
      </c>
      <c r="FK10" t="e">
        <f>AND('Application, cook'!K55,"AAAAAH/3VqY=")</f>
        <v>#VALUE!</v>
      </c>
      <c r="FL10" t="e">
        <f>AND('Application, cook'!L55,"AAAAAH/3Vqc=")</f>
        <v>#VALUE!</v>
      </c>
      <c r="FM10" t="e">
        <f>AND('Application, cook'!M55,"AAAAAH/3Vqg=")</f>
        <v>#VALUE!</v>
      </c>
      <c r="FN10" t="e">
        <f>AND('Application, cook'!N55,"AAAAAH/3Vqk=")</f>
        <v>#VALUE!</v>
      </c>
      <c r="FO10">
        <f>IF('Application, cook'!56:56,"AAAAAH/3Vqo=",0)</f>
        <v>0</v>
      </c>
      <c r="FP10" t="e">
        <f>AND('Application, cook'!A56,"AAAAAH/3Vqs=")</f>
        <v>#VALUE!</v>
      </c>
      <c r="FQ10" t="e">
        <f>AND('Application, cook'!B56,"AAAAAH/3Vqw=")</f>
        <v>#VALUE!</v>
      </c>
      <c r="FR10" t="e">
        <f>AND('Application, cook'!C56,"AAAAAH/3Vq0=")</f>
        <v>#VALUE!</v>
      </c>
      <c r="FS10" t="e">
        <f>AND('Application, cook'!D56,"AAAAAH/3Vq4=")</f>
        <v>#VALUE!</v>
      </c>
      <c r="FT10" t="e">
        <f>AND('Application, cook'!E56,"AAAAAH/3Vq8=")</f>
        <v>#VALUE!</v>
      </c>
      <c r="FU10" t="e">
        <f>AND('Application, cook'!F56,"AAAAAH/3VrA=")</f>
        <v>#VALUE!</v>
      </c>
      <c r="FV10" t="e">
        <f>AND('Application, cook'!G56,"AAAAAH/3VrE=")</f>
        <v>#VALUE!</v>
      </c>
      <c r="FW10" t="e">
        <f>AND('Application, cook'!H56,"AAAAAH/3VrI=")</f>
        <v>#VALUE!</v>
      </c>
      <c r="FX10" t="e">
        <f>AND('Application, cook'!I56,"AAAAAH/3VrM=")</f>
        <v>#VALUE!</v>
      </c>
      <c r="FY10" t="e">
        <f>AND('Application, cook'!J56,"AAAAAH/3VrQ=")</f>
        <v>#VALUE!</v>
      </c>
      <c r="FZ10" t="e">
        <f>AND('Application, cook'!K56,"AAAAAH/3VrU=")</f>
        <v>#VALUE!</v>
      </c>
      <c r="GA10" t="e">
        <f>AND('Application, cook'!L56,"AAAAAH/3VrY=")</f>
        <v>#VALUE!</v>
      </c>
      <c r="GB10" t="e">
        <f>AND('Application, cook'!M56,"AAAAAH/3Vrc=")</f>
        <v>#VALUE!</v>
      </c>
      <c r="GC10" t="e">
        <f>AND('Application, cook'!N56,"AAAAAH/3Vrg=")</f>
        <v>#VALUE!</v>
      </c>
      <c r="GD10">
        <f>IF('Application, cook'!57:57,"AAAAAH/3Vrk=",0)</f>
        <v>0</v>
      </c>
      <c r="GE10" t="e">
        <f>AND('Application, cook'!A57,"AAAAAH/3Vro=")</f>
        <v>#VALUE!</v>
      </c>
      <c r="GF10" t="e">
        <f>AND('Application, cook'!B57,"AAAAAH/3Vrs=")</f>
        <v>#VALUE!</v>
      </c>
      <c r="GG10" t="e">
        <f>AND('Application, cook'!C57,"AAAAAH/3Vrw=")</f>
        <v>#VALUE!</v>
      </c>
      <c r="GH10" t="e">
        <f>AND('Application, cook'!D57,"AAAAAH/3Vr0=")</f>
        <v>#VALUE!</v>
      </c>
      <c r="GI10" t="e">
        <f>AND('Application, cook'!E57,"AAAAAH/3Vr4=")</f>
        <v>#VALUE!</v>
      </c>
      <c r="GJ10" t="e">
        <f>AND('Application, cook'!F57,"AAAAAH/3Vr8=")</f>
        <v>#VALUE!</v>
      </c>
      <c r="GK10" t="e">
        <f>AND('Application, cook'!G57,"AAAAAH/3VsA=")</f>
        <v>#VALUE!</v>
      </c>
      <c r="GL10" t="e">
        <f>AND('Application, cook'!H57,"AAAAAH/3VsE=")</f>
        <v>#VALUE!</v>
      </c>
      <c r="GM10" t="e">
        <f>AND('Application, cook'!I57,"AAAAAH/3VsI=")</f>
        <v>#VALUE!</v>
      </c>
      <c r="GN10" t="e">
        <f>AND('Application, cook'!J57,"AAAAAH/3VsM=")</f>
        <v>#VALUE!</v>
      </c>
      <c r="GO10" t="e">
        <f>AND('Application, cook'!K57,"AAAAAH/3VsQ=")</f>
        <v>#VALUE!</v>
      </c>
      <c r="GP10" t="e">
        <f>AND('Application, cook'!L57,"AAAAAH/3VsU=")</f>
        <v>#VALUE!</v>
      </c>
      <c r="GQ10" t="e">
        <f>AND('Application, cook'!M57,"AAAAAH/3VsY=")</f>
        <v>#VALUE!</v>
      </c>
      <c r="GR10" t="e">
        <f>AND('Application, cook'!N57,"AAAAAH/3Vsc=")</f>
        <v>#VALUE!</v>
      </c>
      <c r="GS10">
        <f>IF('Application, cook'!58:58,"AAAAAH/3Vsg=",0)</f>
        <v>0</v>
      </c>
      <c r="GT10" t="e">
        <f>AND('Application, cook'!A58,"AAAAAH/3Vsk=")</f>
        <v>#VALUE!</v>
      </c>
      <c r="GU10" t="e">
        <f>AND('Application, cook'!B58,"AAAAAH/3Vso=")</f>
        <v>#VALUE!</v>
      </c>
      <c r="GV10" t="e">
        <f>AND('Application, cook'!C58,"AAAAAH/3Vss=")</f>
        <v>#VALUE!</v>
      </c>
      <c r="GW10" t="e">
        <f>AND('Application, cook'!D58,"AAAAAH/3Vsw=")</f>
        <v>#VALUE!</v>
      </c>
      <c r="GX10" t="e">
        <f>AND('Application, cook'!E58,"AAAAAH/3Vs0=")</f>
        <v>#VALUE!</v>
      </c>
      <c r="GY10" t="e">
        <f>AND('Application, cook'!F58,"AAAAAH/3Vs4=")</f>
        <v>#VALUE!</v>
      </c>
      <c r="GZ10" t="e">
        <f>AND('Application, cook'!G58,"AAAAAH/3Vs8=")</f>
        <v>#VALUE!</v>
      </c>
      <c r="HA10" t="e">
        <f>AND('Application, cook'!H58,"AAAAAH/3VtA=")</f>
        <v>#VALUE!</v>
      </c>
      <c r="HB10" t="e">
        <f>AND('Application, cook'!I58,"AAAAAH/3VtE=")</f>
        <v>#VALUE!</v>
      </c>
      <c r="HC10" t="e">
        <f>AND('Application, cook'!J58,"AAAAAH/3VtI=")</f>
        <v>#VALUE!</v>
      </c>
      <c r="HD10" t="e">
        <f>AND('Application, cook'!K58,"AAAAAH/3VtM=")</f>
        <v>#VALUE!</v>
      </c>
      <c r="HE10" t="e">
        <f>AND('Application, cook'!L58,"AAAAAH/3VtQ=")</f>
        <v>#VALUE!</v>
      </c>
      <c r="HF10" t="e">
        <f>AND('Application, cook'!M58,"AAAAAH/3VtU=")</f>
        <v>#VALUE!</v>
      </c>
      <c r="HG10" t="e">
        <f>AND('Application, cook'!N58,"AAAAAH/3VtY=")</f>
        <v>#VALUE!</v>
      </c>
      <c r="HH10">
        <f>IF('Application, cook'!59:59,"AAAAAH/3Vtc=",0)</f>
        <v>0</v>
      </c>
      <c r="HI10" t="e">
        <f>AND('Application, cook'!A59,"AAAAAH/3Vtg=")</f>
        <v>#VALUE!</v>
      </c>
      <c r="HJ10" t="e">
        <f>AND('Application, cook'!B59,"AAAAAH/3Vtk=")</f>
        <v>#VALUE!</v>
      </c>
      <c r="HK10" t="e">
        <f>AND('Application, cook'!C59,"AAAAAH/3Vto=")</f>
        <v>#VALUE!</v>
      </c>
      <c r="HL10" t="e">
        <f>AND('Application, cook'!D59,"AAAAAH/3Vts=")</f>
        <v>#VALUE!</v>
      </c>
      <c r="HM10" t="e">
        <f>AND('Application, cook'!E59,"AAAAAH/3Vtw=")</f>
        <v>#VALUE!</v>
      </c>
      <c r="HN10" t="e">
        <f>AND('Application, cook'!F59,"AAAAAH/3Vt0=")</f>
        <v>#VALUE!</v>
      </c>
      <c r="HO10" t="e">
        <f>AND('Application, cook'!G59,"AAAAAH/3Vt4=")</f>
        <v>#VALUE!</v>
      </c>
      <c r="HP10" t="e">
        <f>AND('Application, cook'!H59,"AAAAAH/3Vt8=")</f>
        <v>#VALUE!</v>
      </c>
      <c r="HQ10" t="e">
        <f>AND('Application, cook'!I59,"AAAAAH/3VuA=")</f>
        <v>#VALUE!</v>
      </c>
      <c r="HR10" t="e">
        <f>AND('Application, cook'!J59,"AAAAAH/3VuE=")</f>
        <v>#VALUE!</v>
      </c>
      <c r="HS10" t="e">
        <f>AND('Application, cook'!K59,"AAAAAH/3VuI=")</f>
        <v>#VALUE!</v>
      </c>
      <c r="HT10" t="e">
        <f>AND('Application, cook'!L59,"AAAAAH/3VuM=")</f>
        <v>#VALUE!</v>
      </c>
      <c r="HU10" t="e">
        <f>AND('Application, cook'!M59,"AAAAAH/3VuQ=")</f>
        <v>#VALUE!</v>
      </c>
      <c r="HV10" t="e">
        <f>AND('Application, cook'!N59,"AAAAAH/3VuU=")</f>
        <v>#VALUE!</v>
      </c>
      <c r="HW10">
        <f>IF('Application, cook'!60:60,"AAAAAH/3VuY=",0)</f>
        <v>0</v>
      </c>
      <c r="HX10" t="e">
        <f>AND('Application, cook'!A60,"AAAAAH/3Vuc=")</f>
        <v>#VALUE!</v>
      </c>
      <c r="HY10" t="e">
        <f>AND('Application, cook'!B60,"AAAAAH/3Vug=")</f>
        <v>#VALUE!</v>
      </c>
      <c r="HZ10" t="e">
        <f>AND('Application, cook'!C60,"AAAAAH/3Vuk=")</f>
        <v>#VALUE!</v>
      </c>
      <c r="IA10" t="e">
        <f>AND('Application, cook'!D60,"AAAAAH/3Vuo=")</f>
        <v>#VALUE!</v>
      </c>
      <c r="IB10" t="e">
        <f>AND('Application, cook'!E60,"AAAAAH/3Vus=")</f>
        <v>#VALUE!</v>
      </c>
      <c r="IC10" t="e">
        <f>AND('Application, cook'!F60,"AAAAAH/3Vuw=")</f>
        <v>#VALUE!</v>
      </c>
      <c r="ID10" t="e">
        <f>AND('Application, cook'!G60,"AAAAAH/3Vu0=")</f>
        <v>#VALUE!</v>
      </c>
      <c r="IE10" t="e">
        <f>AND('Application, cook'!H60,"AAAAAH/3Vu4=")</f>
        <v>#VALUE!</v>
      </c>
      <c r="IF10" t="e">
        <f>AND('Application, cook'!I60,"AAAAAH/3Vu8=")</f>
        <v>#VALUE!</v>
      </c>
      <c r="IG10" t="e">
        <f>AND('Application, cook'!J60,"AAAAAH/3VvA=")</f>
        <v>#VALUE!</v>
      </c>
      <c r="IH10" t="e">
        <f>AND('Application, cook'!K60,"AAAAAH/3VvE=")</f>
        <v>#VALUE!</v>
      </c>
      <c r="II10" t="e">
        <f>AND('Application, cook'!L60,"AAAAAH/3VvI=")</f>
        <v>#VALUE!</v>
      </c>
      <c r="IJ10" t="e">
        <f>AND('Application, cook'!M60,"AAAAAH/3VvM=")</f>
        <v>#VALUE!</v>
      </c>
      <c r="IK10" t="e">
        <f>AND('Application, cook'!N60,"AAAAAH/3VvQ=")</f>
        <v>#VALUE!</v>
      </c>
      <c r="IL10">
        <f>IF('Application, cook'!61:61,"AAAAAH/3VvU=",0)</f>
        <v>0</v>
      </c>
      <c r="IM10" t="e">
        <f>AND('Application, cook'!A61,"AAAAAH/3VvY=")</f>
        <v>#VALUE!</v>
      </c>
      <c r="IN10" t="e">
        <f>AND('Application, cook'!B61,"AAAAAH/3Vvc=")</f>
        <v>#VALUE!</v>
      </c>
      <c r="IO10" t="e">
        <f>AND('Application, cook'!C61,"AAAAAH/3Vvg=")</f>
        <v>#VALUE!</v>
      </c>
      <c r="IP10" t="e">
        <f>AND('Application, cook'!D61,"AAAAAH/3Vvk=")</f>
        <v>#VALUE!</v>
      </c>
      <c r="IQ10" t="e">
        <f>AND('Application, cook'!E61,"AAAAAH/3Vvo=")</f>
        <v>#VALUE!</v>
      </c>
      <c r="IR10" t="e">
        <f>AND('Application, cook'!F61,"AAAAAH/3Vvs=")</f>
        <v>#VALUE!</v>
      </c>
      <c r="IS10" t="e">
        <f>AND('Application, cook'!G61,"AAAAAH/3Vvw=")</f>
        <v>#VALUE!</v>
      </c>
      <c r="IT10" t="e">
        <f>AND('Application, cook'!H61,"AAAAAH/3Vv0=")</f>
        <v>#VALUE!</v>
      </c>
      <c r="IU10" t="e">
        <f>AND('Application, cook'!I61,"AAAAAH/3Vv4=")</f>
        <v>#VALUE!</v>
      </c>
      <c r="IV10" t="e">
        <f>AND('Application, cook'!J61,"AAAAAH/3Vv8=")</f>
        <v>#VALUE!</v>
      </c>
    </row>
    <row r="11" spans="1:256" ht="12.75">
      <c r="A11" t="e">
        <f>AND('Application, cook'!K61,"AAAAAG/+lQA=")</f>
        <v>#VALUE!</v>
      </c>
      <c r="B11" t="e">
        <f>AND('Application, cook'!L61,"AAAAAG/+lQE=")</f>
        <v>#VALUE!</v>
      </c>
      <c r="C11" t="e">
        <f>AND('Application, cook'!M61,"AAAAAG/+lQI=")</f>
        <v>#VALUE!</v>
      </c>
      <c r="D11" t="e">
        <f>AND('Application, cook'!N61,"AAAAAG/+lQM=")</f>
        <v>#VALUE!</v>
      </c>
      <c r="E11">
        <f>IF('Application, cook'!62:62,"AAAAAG/+lQQ=",0)</f>
        <v>0</v>
      </c>
      <c r="F11" t="e">
        <f>AND('Application, cook'!A62,"AAAAAG/+lQU=")</f>
        <v>#VALUE!</v>
      </c>
      <c r="G11" t="e">
        <f>AND('Application, cook'!B62,"AAAAAG/+lQY=")</f>
        <v>#VALUE!</v>
      </c>
      <c r="H11" t="e">
        <f>AND('Application, cook'!C62,"AAAAAG/+lQc=")</f>
        <v>#VALUE!</v>
      </c>
      <c r="I11" t="e">
        <f>AND('Application, cook'!D62,"AAAAAG/+lQg=")</f>
        <v>#VALUE!</v>
      </c>
      <c r="J11" t="e">
        <f>AND('Application, cook'!E62,"AAAAAG/+lQk=")</f>
        <v>#VALUE!</v>
      </c>
      <c r="K11" t="e">
        <f>AND('Application, cook'!F62,"AAAAAG/+lQo=")</f>
        <v>#VALUE!</v>
      </c>
      <c r="L11" t="e">
        <f>AND('Application, cook'!G62,"AAAAAG/+lQs=")</f>
        <v>#VALUE!</v>
      </c>
      <c r="M11" t="e">
        <f>AND('Application, cook'!H62,"AAAAAG/+lQw=")</f>
        <v>#VALUE!</v>
      </c>
      <c r="N11" t="e">
        <f>AND('Application, cook'!I62,"AAAAAG/+lQ0=")</f>
        <v>#VALUE!</v>
      </c>
      <c r="O11" t="e">
        <f>AND('Application, cook'!J62,"AAAAAG/+lQ4=")</f>
        <v>#VALUE!</v>
      </c>
      <c r="P11" t="e">
        <f>AND('Application, cook'!K62,"AAAAAG/+lQ8=")</f>
        <v>#VALUE!</v>
      </c>
      <c r="Q11" t="e">
        <f>AND('Application, cook'!L62,"AAAAAG/+lRA=")</f>
        <v>#VALUE!</v>
      </c>
      <c r="R11" t="e">
        <f>AND('Application, cook'!M62,"AAAAAG/+lRE=")</f>
        <v>#VALUE!</v>
      </c>
      <c r="S11" t="e">
        <f>AND('Application, cook'!N62,"AAAAAG/+lRI=")</f>
        <v>#VALUE!</v>
      </c>
      <c r="T11">
        <f>IF('Application, cook'!63:63,"AAAAAG/+lRM=",0)</f>
        <v>0</v>
      </c>
      <c r="U11" t="e">
        <f>AND('Application, cook'!A63,"AAAAAG/+lRQ=")</f>
        <v>#VALUE!</v>
      </c>
      <c r="V11" t="e">
        <f>AND('Application, cook'!B63,"AAAAAG/+lRU=")</f>
        <v>#VALUE!</v>
      </c>
      <c r="W11" t="e">
        <f>AND('Application, cook'!C63,"AAAAAG/+lRY=")</f>
        <v>#VALUE!</v>
      </c>
      <c r="X11" t="e">
        <f>AND('Application, cook'!D63,"AAAAAG/+lRc=")</f>
        <v>#VALUE!</v>
      </c>
      <c r="Y11" t="e">
        <f>AND('Application, cook'!E63,"AAAAAG/+lRg=")</f>
        <v>#VALUE!</v>
      </c>
      <c r="Z11" t="e">
        <f>AND('Application, cook'!F63,"AAAAAG/+lRk=")</f>
        <v>#VALUE!</v>
      </c>
      <c r="AA11" t="e">
        <f>AND('Application, cook'!G63,"AAAAAG/+lRo=")</f>
        <v>#VALUE!</v>
      </c>
      <c r="AB11" t="e">
        <f>AND('Application, cook'!H63,"AAAAAG/+lRs=")</f>
        <v>#VALUE!</v>
      </c>
      <c r="AC11" t="e">
        <f>AND('Application, cook'!I63,"AAAAAG/+lRw=")</f>
        <v>#VALUE!</v>
      </c>
      <c r="AD11" t="e">
        <f>AND('Application, cook'!J63,"AAAAAG/+lR0=")</f>
        <v>#VALUE!</v>
      </c>
      <c r="AE11" t="e">
        <f>AND('Application, cook'!K63,"AAAAAG/+lR4=")</f>
        <v>#VALUE!</v>
      </c>
      <c r="AF11" t="e">
        <f>AND('Application, cook'!L63,"AAAAAG/+lR8=")</f>
        <v>#VALUE!</v>
      </c>
      <c r="AG11" t="e">
        <f>AND('Application, cook'!M63,"AAAAAG/+lSA=")</f>
        <v>#VALUE!</v>
      </c>
      <c r="AH11" t="e">
        <f>AND('Application, cook'!N63,"AAAAAG/+lSE=")</f>
        <v>#VALUE!</v>
      </c>
      <c r="AI11">
        <f>IF('Application, cook'!64:64,"AAAAAG/+lSI=",0)</f>
        <v>0</v>
      </c>
      <c r="AJ11" t="e">
        <f>AND('Application, cook'!A64,"AAAAAG/+lSM=")</f>
        <v>#VALUE!</v>
      </c>
      <c r="AK11" t="e">
        <f>AND('Application, cook'!B64,"AAAAAG/+lSQ=")</f>
        <v>#VALUE!</v>
      </c>
      <c r="AL11" t="e">
        <f>AND('Application, cook'!C64,"AAAAAG/+lSU=")</f>
        <v>#VALUE!</v>
      </c>
      <c r="AM11" t="e">
        <f>AND('Application, cook'!D64,"AAAAAG/+lSY=")</f>
        <v>#VALUE!</v>
      </c>
      <c r="AN11" t="e">
        <f>AND('Application, cook'!E64,"AAAAAG/+lSc=")</f>
        <v>#VALUE!</v>
      </c>
      <c r="AO11" t="e">
        <f>AND('Application, cook'!F64,"AAAAAG/+lSg=")</f>
        <v>#VALUE!</v>
      </c>
      <c r="AP11" t="e">
        <f>AND('Application, cook'!G64,"AAAAAG/+lSk=")</f>
        <v>#VALUE!</v>
      </c>
      <c r="AQ11" t="e">
        <f>AND('Application, cook'!H64,"AAAAAG/+lSo=")</f>
        <v>#VALUE!</v>
      </c>
      <c r="AR11" t="e">
        <f>AND('Application, cook'!I64,"AAAAAG/+lSs=")</f>
        <v>#VALUE!</v>
      </c>
      <c r="AS11" t="e">
        <f>AND('Application, cook'!J64,"AAAAAG/+lSw=")</f>
        <v>#VALUE!</v>
      </c>
      <c r="AT11" t="e">
        <f>AND('Application, cook'!K64,"AAAAAG/+lS0=")</f>
        <v>#VALUE!</v>
      </c>
      <c r="AU11" t="e">
        <f>AND('Application, cook'!L64,"AAAAAG/+lS4=")</f>
        <v>#VALUE!</v>
      </c>
      <c r="AV11" t="e">
        <f>AND('Application, cook'!M64,"AAAAAG/+lS8=")</f>
        <v>#VALUE!</v>
      </c>
      <c r="AW11" t="e">
        <f>AND('Application, cook'!N64,"AAAAAG/+lTA=")</f>
        <v>#VALUE!</v>
      </c>
      <c r="AX11">
        <f>IF('Application, cook'!65:65,"AAAAAG/+lTE=",0)</f>
        <v>0</v>
      </c>
      <c r="AY11" t="e">
        <f>AND('Application, cook'!A65,"AAAAAG/+lTI=")</f>
        <v>#VALUE!</v>
      </c>
      <c r="AZ11" t="e">
        <f>AND('Application, cook'!B65,"AAAAAG/+lTM=")</f>
        <v>#VALUE!</v>
      </c>
      <c r="BA11" t="e">
        <f>AND('Application, cook'!C65,"AAAAAG/+lTQ=")</f>
        <v>#VALUE!</v>
      </c>
      <c r="BB11" t="e">
        <f>AND('Application, cook'!D65,"AAAAAG/+lTU=")</f>
        <v>#VALUE!</v>
      </c>
      <c r="BC11" t="e">
        <f>AND('Application, cook'!E65,"AAAAAG/+lTY=")</f>
        <v>#VALUE!</v>
      </c>
      <c r="BD11" t="e">
        <f>AND('Application, cook'!F65,"AAAAAG/+lTc=")</f>
        <v>#VALUE!</v>
      </c>
      <c r="BE11" t="e">
        <f>AND('Application, cook'!G65,"AAAAAG/+lTg=")</f>
        <v>#VALUE!</v>
      </c>
      <c r="BF11" t="e">
        <f>AND('Application, cook'!H65,"AAAAAG/+lTk=")</f>
        <v>#VALUE!</v>
      </c>
      <c r="BG11" t="e">
        <f>AND('Application, cook'!I65,"AAAAAG/+lTo=")</f>
        <v>#VALUE!</v>
      </c>
      <c r="BH11" t="e">
        <f>AND('Application, cook'!J65,"AAAAAG/+lTs=")</f>
        <v>#VALUE!</v>
      </c>
      <c r="BI11" t="e">
        <f>AND('Application, cook'!K65,"AAAAAG/+lTw=")</f>
        <v>#VALUE!</v>
      </c>
      <c r="BJ11" t="e">
        <f>AND('Application, cook'!L65,"AAAAAG/+lT0=")</f>
        <v>#VALUE!</v>
      </c>
      <c r="BK11" t="e">
        <f>AND('Application, cook'!M65,"AAAAAG/+lT4=")</f>
        <v>#VALUE!</v>
      </c>
      <c r="BL11" t="e">
        <f>AND('Application, cook'!N65,"AAAAAG/+lT8=")</f>
        <v>#VALUE!</v>
      </c>
      <c r="BM11">
        <f>IF('Application, cook'!66:66,"AAAAAG/+lUA=",0)</f>
        <v>0</v>
      </c>
      <c r="BN11" t="e">
        <f>AND('Application, cook'!A66,"AAAAAG/+lUE=")</f>
        <v>#VALUE!</v>
      </c>
      <c r="BO11" t="e">
        <f>AND('Application, cook'!B66,"AAAAAG/+lUI=")</f>
        <v>#VALUE!</v>
      </c>
      <c r="BP11" t="e">
        <f>AND('Application, cook'!C66,"AAAAAG/+lUM=")</f>
        <v>#VALUE!</v>
      </c>
      <c r="BQ11" t="e">
        <f>AND('Application, cook'!D66,"AAAAAG/+lUQ=")</f>
        <v>#VALUE!</v>
      </c>
      <c r="BR11" t="e">
        <f>AND('Application, cook'!E66,"AAAAAG/+lUU=")</f>
        <v>#VALUE!</v>
      </c>
      <c r="BS11" t="e">
        <f>AND('Application, cook'!F66,"AAAAAG/+lUY=")</f>
        <v>#VALUE!</v>
      </c>
      <c r="BT11" t="e">
        <f>AND('Application, cook'!G66,"AAAAAG/+lUc=")</f>
        <v>#VALUE!</v>
      </c>
      <c r="BU11" t="e">
        <f>AND('Application, cook'!H66,"AAAAAG/+lUg=")</f>
        <v>#VALUE!</v>
      </c>
      <c r="BV11" t="e">
        <f>AND('Application, cook'!I66,"AAAAAG/+lUk=")</f>
        <v>#VALUE!</v>
      </c>
      <c r="BW11" t="e">
        <f>AND('Application, cook'!J66,"AAAAAG/+lUo=")</f>
        <v>#VALUE!</v>
      </c>
      <c r="BX11" t="e">
        <f>AND('Application, cook'!K66,"AAAAAG/+lUs=")</f>
        <v>#VALUE!</v>
      </c>
      <c r="BY11" t="e">
        <f>AND('Application, cook'!L66,"AAAAAG/+lUw=")</f>
        <v>#VALUE!</v>
      </c>
      <c r="BZ11" t="e">
        <f>AND('Application, cook'!M66,"AAAAAG/+lU0=")</f>
        <v>#VALUE!</v>
      </c>
      <c r="CA11" t="e">
        <f>AND('Application, cook'!N66,"AAAAAG/+lU4=")</f>
        <v>#VALUE!</v>
      </c>
      <c r="CB11">
        <f>IF('Application, cook'!67:67,"AAAAAG/+lU8=",0)</f>
        <v>0</v>
      </c>
      <c r="CC11" t="e">
        <f>AND('Application, cook'!A67,"AAAAAG/+lVA=")</f>
        <v>#VALUE!</v>
      </c>
      <c r="CD11" t="e">
        <f>AND('Application, cook'!B67,"AAAAAG/+lVE=")</f>
        <v>#VALUE!</v>
      </c>
      <c r="CE11" t="e">
        <f>AND('Application, cook'!C67,"AAAAAG/+lVI=")</f>
        <v>#VALUE!</v>
      </c>
      <c r="CF11" t="e">
        <f>AND('Application, cook'!D67,"AAAAAG/+lVM=")</f>
        <v>#VALUE!</v>
      </c>
      <c r="CG11" t="e">
        <f>AND('Application, cook'!E67,"AAAAAG/+lVQ=")</f>
        <v>#VALUE!</v>
      </c>
      <c r="CH11" t="e">
        <f>AND('Application, cook'!F67,"AAAAAG/+lVU=")</f>
        <v>#VALUE!</v>
      </c>
      <c r="CI11" t="e">
        <f>AND('Application, cook'!G67,"AAAAAG/+lVY=")</f>
        <v>#VALUE!</v>
      </c>
      <c r="CJ11" t="e">
        <f>AND('Application, cook'!H67,"AAAAAG/+lVc=")</f>
        <v>#VALUE!</v>
      </c>
      <c r="CK11" t="e">
        <f>AND('Application, cook'!I67,"AAAAAG/+lVg=")</f>
        <v>#VALUE!</v>
      </c>
      <c r="CL11" t="e">
        <f>AND('Application, cook'!J67,"AAAAAG/+lVk=")</f>
        <v>#VALUE!</v>
      </c>
      <c r="CM11" t="e">
        <f>AND('Application, cook'!K67,"AAAAAG/+lVo=")</f>
        <v>#VALUE!</v>
      </c>
      <c r="CN11" t="e">
        <f>AND('Application, cook'!L67,"AAAAAG/+lVs=")</f>
        <v>#VALUE!</v>
      </c>
      <c r="CO11" t="e">
        <f>AND('Application, cook'!M67,"AAAAAG/+lVw=")</f>
        <v>#VALUE!</v>
      </c>
      <c r="CP11" t="e">
        <f>AND('Application, cook'!N67,"AAAAAG/+lV0=")</f>
        <v>#VALUE!</v>
      </c>
      <c r="CQ11">
        <f>IF('Application, cook'!68:68,"AAAAAG/+lV4=",0)</f>
        <v>0</v>
      </c>
      <c r="CR11" t="e">
        <f>AND('Application, cook'!A68,"AAAAAG/+lV8=")</f>
        <v>#VALUE!</v>
      </c>
      <c r="CS11" t="e">
        <f>AND('Application, cook'!B68,"AAAAAG/+lWA=")</f>
        <v>#VALUE!</v>
      </c>
      <c r="CT11" t="e">
        <f>AND('Application, cook'!C68,"AAAAAG/+lWE=")</f>
        <v>#VALUE!</v>
      </c>
      <c r="CU11" t="e">
        <f>AND('Application, cook'!D68,"AAAAAG/+lWI=")</f>
        <v>#VALUE!</v>
      </c>
      <c r="CV11" t="e">
        <f>AND('Application, cook'!E68,"AAAAAG/+lWM=")</f>
        <v>#VALUE!</v>
      </c>
      <c r="CW11" t="e">
        <f>AND('Application, cook'!F68,"AAAAAG/+lWQ=")</f>
        <v>#VALUE!</v>
      </c>
      <c r="CX11" t="e">
        <f>AND('Application, cook'!G68,"AAAAAG/+lWU=")</f>
        <v>#VALUE!</v>
      </c>
      <c r="CY11" t="e">
        <f>AND('Application, cook'!H68,"AAAAAG/+lWY=")</f>
        <v>#VALUE!</v>
      </c>
      <c r="CZ11" t="e">
        <f>AND('Application, cook'!I68,"AAAAAG/+lWc=")</f>
        <v>#VALUE!</v>
      </c>
      <c r="DA11" t="e">
        <f>AND('Application, cook'!J68,"AAAAAG/+lWg=")</f>
        <v>#VALUE!</v>
      </c>
      <c r="DB11" t="e">
        <f>AND('Application, cook'!K68,"AAAAAG/+lWk=")</f>
        <v>#VALUE!</v>
      </c>
      <c r="DC11" t="e">
        <f>AND('Application, cook'!L68,"AAAAAG/+lWo=")</f>
        <v>#VALUE!</v>
      </c>
      <c r="DD11" t="e">
        <f>AND('Application, cook'!M68,"AAAAAG/+lWs=")</f>
        <v>#VALUE!</v>
      </c>
      <c r="DE11" t="e">
        <f>AND('Application, cook'!N68,"AAAAAG/+lWw=")</f>
        <v>#VALUE!</v>
      </c>
      <c r="DF11">
        <f>IF('Application, cook'!69:69,"AAAAAG/+lW0=",0)</f>
        <v>0</v>
      </c>
      <c r="DG11" t="e">
        <f>AND('Application, cook'!A69,"AAAAAG/+lW4=")</f>
        <v>#VALUE!</v>
      </c>
      <c r="DH11" t="e">
        <f>AND('Application, cook'!B69,"AAAAAG/+lW8=")</f>
        <v>#VALUE!</v>
      </c>
      <c r="DI11" t="e">
        <f>AND('Application, cook'!C69,"AAAAAG/+lXA=")</f>
        <v>#VALUE!</v>
      </c>
      <c r="DJ11" t="e">
        <f>AND('Application, cook'!D69,"AAAAAG/+lXE=")</f>
        <v>#VALUE!</v>
      </c>
      <c r="DK11" t="e">
        <f>AND('Application, cook'!E69,"AAAAAG/+lXI=")</f>
        <v>#VALUE!</v>
      </c>
      <c r="DL11" t="e">
        <f>AND('Application, cook'!F69,"AAAAAG/+lXM=")</f>
        <v>#VALUE!</v>
      </c>
      <c r="DM11" t="e">
        <f>AND('Application, cook'!G69,"AAAAAG/+lXQ=")</f>
        <v>#VALUE!</v>
      </c>
      <c r="DN11" t="e">
        <f>AND('Application, cook'!H69,"AAAAAG/+lXU=")</f>
        <v>#VALUE!</v>
      </c>
      <c r="DO11" t="e">
        <f>AND('Application, cook'!I69,"AAAAAG/+lXY=")</f>
        <v>#VALUE!</v>
      </c>
      <c r="DP11" t="e">
        <f>AND('Application, cook'!J69,"AAAAAG/+lXc=")</f>
        <v>#VALUE!</v>
      </c>
      <c r="DQ11" t="e">
        <f>AND('Application, cook'!K69,"AAAAAG/+lXg=")</f>
        <v>#VALUE!</v>
      </c>
      <c r="DR11" t="e">
        <f>AND('Application, cook'!L69,"AAAAAG/+lXk=")</f>
        <v>#VALUE!</v>
      </c>
      <c r="DS11" t="e">
        <f>AND('Application, cook'!M69,"AAAAAG/+lXo=")</f>
        <v>#VALUE!</v>
      </c>
      <c r="DT11" t="e">
        <f>AND('Application, cook'!N69,"AAAAAG/+lXs=")</f>
        <v>#VALUE!</v>
      </c>
      <c r="DU11">
        <f>IF('Application, cook'!70:70,"AAAAAG/+lXw=",0)</f>
        <v>0</v>
      </c>
      <c r="DV11" t="e">
        <f>AND('Application, cook'!A70,"AAAAAG/+lX0=")</f>
        <v>#VALUE!</v>
      </c>
      <c r="DW11" t="e">
        <f>AND('Application, cook'!B70,"AAAAAG/+lX4=")</f>
        <v>#VALUE!</v>
      </c>
      <c r="DX11" t="e">
        <f>AND('Application, cook'!C70,"AAAAAG/+lX8=")</f>
        <v>#VALUE!</v>
      </c>
      <c r="DY11" t="e">
        <f>AND('Application, cook'!D70,"AAAAAG/+lYA=")</f>
        <v>#VALUE!</v>
      </c>
      <c r="DZ11" t="e">
        <f>AND('Application, cook'!E70,"AAAAAG/+lYE=")</f>
        <v>#VALUE!</v>
      </c>
      <c r="EA11" t="e">
        <f>AND('Application, cook'!F70,"AAAAAG/+lYI=")</f>
        <v>#VALUE!</v>
      </c>
      <c r="EB11" t="e">
        <f>AND('Application, cook'!G70,"AAAAAG/+lYM=")</f>
        <v>#VALUE!</v>
      </c>
      <c r="EC11" t="e">
        <f>AND('Application, cook'!H70,"AAAAAG/+lYQ=")</f>
        <v>#VALUE!</v>
      </c>
      <c r="ED11" t="e">
        <f>AND('Application, cook'!I70,"AAAAAG/+lYU=")</f>
        <v>#VALUE!</v>
      </c>
      <c r="EE11" t="e">
        <f>AND('Application, cook'!J70,"AAAAAG/+lYY=")</f>
        <v>#VALUE!</v>
      </c>
      <c r="EF11" t="e">
        <f>AND('Application, cook'!K70,"AAAAAG/+lYc=")</f>
        <v>#VALUE!</v>
      </c>
      <c r="EG11" t="e">
        <f>AND('Application, cook'!L70,"AAAAAG/+lYg=")</f>
        <v>#VALUE!</v>
      </c>
      <c r="EH11" t="e">
        <f>AND('Application, cook'!M70,"AAAAAG/+lYk=")</f>
        <v>#VALUE!</v>
      </c>
      <c r="EI11" t="e">
        <f>AND('Application, cook'!N70,"AAAAAG/+lYo=")</f>
        <v>#VALUE!</v>
      </c>
      <c r="EJ11">
        <f>IF('Application, cook'!71:71,"AAAAAG/+lYs=",0)</f>
        <v>0</v>
      </c>
      <c r="EK11" t="e">
        <f>AND('Application, cook'!A71,"AAAAAG/+lYw=")</f>
        <v>#VALUE!</v>
      </c>
      <c r="EL11" t="e">
        <f>AND('Application, cook'!B71,"AAAAAG/+lY0=")</f>
        <v>#VALUE!</v>
      </c>
      <c r="EM11" t="e">
        <f>AND('Application, cook'!C71,"AAAAAG/+lY4=")</f>
        <v>#VALUE!</v>
      </c>
      <c r="EN11" t="e">
        <f>AND('Application, cook'!D71,"AAAAAG/+lY8=")</f>
        <v>#VALUE!</v>
      </c>
      <c r="EO11" t="e">
        <f>AND('Application, cook'!E71,"AAAAAG/+lZA=")</f>
        <v>#VALUE!</v>
      </c>
      <c r="EP11" t="e">
        <f>AND('Application, cook'!F71,"AAAAAG/+lZE=")</f>
        <v>#VALUE!</v>
      </c>
      <c r="EQ11" t="e">
        <f>AND('Application, cook'!G71,"AAAAAG/+lZI=")</f>
        <v>#VALUE!</v>
      </c>
      <c r="ER11" t="e">
        <f>AND('Application, cook'!H71,"AAAAAG/+lZM=")</f>
        <v>#VALUE!</v>
      </c>
      <c r="ES11" t="e">
        <f>AND('Application, cook'!I71,"AAAAAG/+lZQ=")</f>
        <v>#VALUE!</v>
      </c>
      <c r="ET11" t="e">
        <f>AND('Application, cook'!J71,"AAAAAG/+lZU=")</f>
        <v>#VALUE!</v>
      </c>
      <c r="EU11" t="e">
        <f>AND('Application, cook'!K71,"AAAAAG/+lZY=")</f>
        <v>#VALUE!</v>
      </c>
      <c r="EV11" t="e">
        <f>AND('Application, cook'!L71,"AAAAAG/+lZc=")</f>
        <v>#VALUE!</v>
      </c>
      <c r="EW11" t="e">
        <f>AND('Application, cook'!M71,"AAAAAG/+lZg=")</f>
        <v>#VALUE!</v>
      </c>
      <c r="EX11" t="e">
        <f>AND('Application, cook'!N71,"AAAAAG/+lZk=")</f>
        <v>#VALUE!</v>
      </c>
      <c r="EY11">
        <f>IF('Application, cook'!72:72,"AAAAAG/+lZo=",0)</f>
        <v>0</v>
      </c>
      <c r="EZ11" t="e">
        <f>AND('Application, cook'!A72,"AAAAAG/+lZs=")</f>
        <v>#VALUE!</v>
      </c>
      <c r="FA11" t="e">
        <f>AND('Application, cook'!B72,"AAAAAG/+lZw=")</f>
        <v>#VALUE!</v>
      </c>
      <c r="FB11" t="e">
        <f>AND('Application, cook'!C72,"AAAAAG/+lZ0=")</f>
        <v>#VALUE!</v>
      </c>
      <c r="FC11" t="e">
        <f>AND('Application, cook'!D72,"AAAAAG/+lZ4=")</f>
        <v>#VALUE!</v>
      </c>
      <c r="FD11" t="e">
        <f>AND('Application, cook'!E72,"AAAAAG/+lZ8=")</f>
        <v>#VALUE!</v>
      </c>
      <c r="FE11" t="e">
        <f>AND('Application, cook'!F72,"AAAAAG/+laA=")</f>
        <v>#VALUE!</v>
      </c>
      <c r="FF11" t="e">
        <f>AND('Application, cook'!G72,"AAAAAG/+laE=")</f>
        <v>#VALUE!</v>
      </c>
      <c r="FG11" t="e">
        <f>AND('Application, cook'!H72,"AAAAAG/+laI=")</f>
        <v>#VALUE!</v>
      </c>
      <c r="FH11" t="e">
        <f>AND('Application, cook'!I72,"AAAAAG/+laM=")</f>
        <v>#VALUE!</v>
      </c>
      <c r="FI11" t="e">
        <f>AND('Application, cook'!J72,"AAAAAG/+laQ=")</f>
        <v>#VALUE!</v>
      </c>
      <c r="FJ11" t="e">
        <f>AND('Application, cook'!K72,"AAAAAG/+laU=")</f>
        <v>#VALUE!</v>
      </c>
      <c r="FK11" t="e">
        <f>AND('Application, cook'!L72,"AAAAAG/+laY=")</f>
        <v>#VALUE!</v>
      </c>
      <c r="FL11" t="e">
        <f>AND('Application, cook'!M72,"AAAAAG/+lac=")</f>
        <v>#VALUE!</v>
      </c>
      <c r="FM11" t="e">
        <f>AND('Application, cook'!N72,"AAAAAG/+lag=")</f>
        <v>#VALUE!</v>
      </c>
      <c r="FN11">
        <f>IF('Application, cook'!73:73,"AAAAAG/+lak=",0)</f>
        <v>0</v>
      </c>
      <c r="FO11" t="e">
        <f>AND('Application, cook'!A73,"AAAAAG/+lao=")</f>
        <v>#VALUE!</v>
      </c>
      <c r="FP11" t="e">
        <f>AND('Application, cook'!B73,"AAAAAG/+las=")</f>
        <v>#VALUE!</v>
      </c>
      <c r="FQ11" t="e">
        <f>AND('Application, cook'!C73,"AAAAAG/+law=")</f>
        <v>#VALUE!</v>
      </c>
      <c r="FR11" t="e">
        <f>AND('Application, cook'!D73,"AAAAAG/+la0=")</f>
        <v>#VALUE!</v>
      </c>
      <c r="FS11" t="e">
        <f>AND('Application, cook'!E73,"AAAAAG/+la4=")</f>
        <v>#VALUE!</v>
      </c>
      <c r="FT11" t="e">
        <f>AND('Application, cook'!F73,"AAAAAG/+la8=")</f>
        <v>#VALUE!</v>
      </c>
      <c r="FU11" t="e">
        <f>AND('Application, cook'!G73,"AAAAAG/+lbA=")</f>
        <v>#VALUE!</v>
      </c>
      <c r="FV11" t="e">
        <f>AND('Application, cook'!H73,"AAAAAG/+lbE=")</f>
        <v>#VALUE!</v>
      </c>
      <c r="FW11" t="e">
        <f>AND('Application, cook'!I73,"AAAAAG/+lbI=")</f>
        <v>#VALUE!</v>
      </c>
      <c r="FX11" t="e">
        <f>AND('Application, cook'!J73,"AAAAAG/+lbM=")</f>
        <v>#VALUE!</v>
      </c>
      <c r="FY11" t="e">
        <f>AND('Application, cook'!K73,"AAAAAG/+lbQ=")</f>
        <v>#VALUE!</v>
      </c>
      <c r="FZ11" t="e">
        <f>AND('Application, cook'!L73,"AAAAAG/+lbU=")</f>
        <v>#VALUE!</v>
      </c>
      <c r="GA11" t="e">
        <f>AND('Application, cook'!M73,"AAAAAG/+lbY=")</f>
        <v>#VALUE!</v>
      </c>
      <c r="GB11" t="e">
        <f>AND('Application, cook'!N73,"AAAAAG/+lbc=")</f>
        <v>#VALUE!</v>
      </c>
      <c r="GC11">
        <f>IF('Application, cook'!74:74,"AAAAAG/+lbg=",0)</f>
        <v>0</v>
      </c>
      <c r="GD11" t="e">
        <f>AND('Application, cook'!A74,"AAAAAG/+lbk=")</f>
        <v>#VALUE!</v>
      </c>
      <c r="GE11" t="e">
        <f>AND('Application, cook'!B74,"AAAAAG/+lbo=")</f>
        <v>#VALUE!</v>
      </c>
      <c r="GF11" t="e">
        <f>AND('Application, cook'!C74,"AAAAAG/+lbs=")</f>
        <v>#VALUE!</v>
      </c>
      <c r="GG11" t="e">
        <f>AND('Application, cook'!D74,"AAAAAG/+lbw=")</f>
        <v>#VALUE!</v>
      </c>
      <c r="GH11" t="e">
        <f>AND('Application, cook'!E74,"AAAAAG/+lb0=")</f>
        <v>#VALUE!</v>
      </c>
      <c r="GI11" t="e">
        <f>AND('Application, cook'!F74,"AAAAAG/+lb4=")</f>
        <v>#VALUE!</v>
      </c>
      <c r="GJ11" t="e">
        <f>AND('Application, cook'!G74,"AAAAAG/+lb8=")</f>
        <v>#VALUE!</v>
      </c>
      <c r="GK11" t="e">
        <f>AND('Application, cook'!H74,"AAAAAG/+lcA=")</f>
        <v>#VALUE!</v>
      </c>
      <c r="GL11" t="e">
        <f>AND('Application, cook'!I74,"AAAAAG/+lcE=")</f>
        <v>#VALUE!</v>
      </c>
      <c r="GM11" t="e">
        <f>AND('Application, cook'!J74,"AAAAAG/+lcI=")</f>
        <v>#VALUE!</v>
      </c>
      <c r="GN11" t="e">
        <f>AND('Application, cook'!K74,"AAAAAG/+lcM=")</f>
        <v>#VALUE!</v>
      </c>
      <c r="GO11" t="e">
        <f>AND('Application, cook'!L74,"AAAAAG/+lcQ=")</f>
        <v>#VALUE!</v>
      </c>
      <c r="GP11" t="e">
        <f>AND('Application, cook'!M74,"AAAAAG/+lcU=")</f>
        <v>#VALUE!</v>
      </c>
      <c r="GQ11" t="e">
        <f>AND('Application, cook'!N74,"AAAAAG/+lcY=")</f>
        <v>#VALUE!</v>
      </c>
      <c r="GR11">
        <f>IF('Application, cook'!75:75,"AAAAAG/+lcc=",0)</f>
        <v>0</v>
      </c>
      <c r="GS11" t="e">
        <f>AND('Application, cook'!A75,"AAAAAG/+lcg=")</f>
        <v>#VALUE!</v>
      </c>
      <c r="GT11" t="e">
        <f>AND('Application, cook'!B75,"AAAAAG/+lck=")</f>
        <v>#VALUE!</v>
      </c>
      <c r="GU11" t="e">
        <f>AND('Application, cook'!C75,"AAAAAG/+lco=")</f>
        <v>#VALUE!</v>
      </c>
      <c r="GV11" t="e">
        <f>AND('Application, cook'!D75,"AAAAAG/+lcs=")</f>
        <v>#VALUE!</v>
      </c>
      <c r="GW11" t="e">
        <f>AND('Application, cook'!E75,"AAAAAG/+lcw=")</f>
        <v>#VALUE!</v>
      </c>
      <c r="GX11" t="e">
        <f>AND('Application, cook'!F75,"AAAAAG/+lc0=")</f>
        <v>#VALUE!</v>
      </c>
      <c r="GY11" t="e">
        <f>AND('Application, cook'!G75,"AAAAAG/+lc4=")</f>
        <v>#VALUE!</v>
      </c>
      <c r="GZ11" t="e">
        <f>AND('Application, cook'!H75,"AAAAAG/+lc8=")</f>
        <v>#VALUE!</v>
      </c>
      <c r="HA11" t="e">
        <f>AND('Application, cook'!I75,"AAAAAG/+ldA=")</f>
        <v>#VALUE!</v>
      </c>
      <c r="HB11" t="e">
        <f>AND('Application, cook'!J75,"AAAAAG/+ldE=")</f>
        <v>#VALUE!</v>
      </c>
      <c r="HC11" t="e">
        <f>AND('Application, cook'!K75,"AAAAAG/+ldI=")</f>
        <v>#VALUE!</v>
      </c>
      <c r="HD11" t="e">
        <f>AND('Application, cook'!L75,"AAAAAG/+ldM=")</f>
        <v>#VALUE!</v>
      </c>
      <c r="HE11" t="e">
        <f>AND('Application, cook'!M75,"AAAAAG/+ldQ=")</f>
        <v>#VALUE!</v>
      </c>
      <c r="HF11" t="e">
        <f>AND('Application, cook'!N75,"AAAAAG/+ldU=")</f>
        <v>#VALUE!</v>
      </c>
      <c r="HG11">
        <f>IF('Application, cook'!76:76,"AAAAAG/+ldY=",0)</f>
        <v>0</v>
      </c>
      <c r="HH11" t="e">
        <f>AND('Application, cook'!A76,"AAAAAG/+ldc=")</f>
        <v>#VALUE!</v>
      </c>
      <c r="HI11" t="e">
        <f>AND('Application, cook'!B76,"AAAAAG/+ldg=")</f>
        <v>#VALUE!</v>
      </c>
      <c r="HJ11" t="e">
        <f>AND('Application, cook'!C76,"AAAAAG/+ldk=")</f>
        <v>#VALUE!</v>
      </c>
      <c r="HK11" t="e">
        <f>AND('Application, cook'!D76,"AAAAAG/+ldo=")</f>
        <v>#VALUE!</v>
      </c>
      <c r="HL11" t="e">
        <f>AND('Application, cook'!E76,"AAAAAG/+lds=")</f>
        <v>#VALUE!</v>
      </c>
      <c r="HM11" t="e">
        <f>AND('Application, cook'!F76,"AAAAAG/+ldw=")</f>
        <v>#VALUE!</v>
      </c>
      <c r="HN11" t="e">
        <f>AND('Application, cook'!G76,"AAAAAG/+ld0=")</f>
        <v>#VALUE!</v>
      </c>
      <c r="HO11" t="e">
        <f>AND('Application, cook'!H76,"AAAAAG/+ld4=")</f>
        <v>#VALUE!</v>
      </c>
      <c r="HP11" t="e">
        <f>AND('Application, cook'!I76,"AAAAAG/+ld8=")</f>
        <v>#VALUE!</v>
      </c>
      <c r="HQ11" t="e">
        <f>AND('Application, cook'!J76,"AAAAAG/+leA=")</f>
        <v>#VALUE!</v>
      </c>
      <c r="HR11" t="e">
        <f>AND('Application, cook'!K76,"AAAAAG/+leE=")</f>
        <v>#VALUE!</v>
      </c>
      <c r="HS11" t="e">
        <f>AND('Application, cook'!L76,"AAAAAG/+leI=")</f>
        <v>#VALUE!</v>
      </c>
      <c r="HT11" t="e">
        <f>AND('Application, cook'!M76,"AAAAAG/+leM=")</f>
        <v>#VALUE!</v>
      </c>
      <c r="HU11" t="e">
        <f>AND('Application, cook'!N76,"AAAAAG/+leQ=")</f>
        <v>#VALUE!</v>
      </c>
      <c r="HV11">
        <f>IF('Application, cook'!77:77,"AAAAAG/+leU=",0)</f>
        <v>0</v>
      </c>
      <c r="HW11" t="e">
        <f>AND('Application, cook'!A77,"AAAAAG/+leY=")</f>
        <v>#VALUE!</v>
      </c>
      <c r="HX11" t="e">
        <f>AND('Application, cook'!B77,"AAAAAG/+lec=")</f>
        <v>#VALUE!</v>
      </c>
      <c r="HY11" t="e">
        <f>AND('Application, cook'!C77,"AAAAAG/+leg=")</f>
        <v>#VALUE!</v>
      </c>
      <c r="HZ11" t="e">
        <f>AND('Application, cook'!D77,"AAAAAG/+lek=")</f>
        <v>#VALUE!</v>
      </c>
      <c r="IA11" t="e">
        <f>AND('Application, cook'!E77,"AAAAAG/+leo=")</f>
        <v>#VALUE!</v>
      </c>
      <c r="IB11" t="e">
        <f>AND('Application, cook'!F77,"AAAAAG/+les=")</f>
        <v>#VALUE!</v>
      </c>
      <c r="IC11" t="e">
        <f>AND('Application, cook'!G77,"AAAAAG/+lew=")</f>
        <v>#VALUE!</v>
      </c>
      <c r="ID11" t="e">
        <f>AND('Application, cook'!H77,"AAAAAG/+le0=")</f>
        <v>#VALUE!</v>
      </c>
      <c r="IE11" t="e">
        <f>AND('Application, cook'!I77,"AAAAAG/+le4=")</f>
        <v>#VALUE!</v>
      </c>
      <c r="IF11" t="e">
        <f>AND('Application, cook'!J77,"AAAAAG/+le8=")</f>
        <v>#VALUE!</v>
      </c>
      <c r="IG11" t="e">
        <f>AND('Application, cook'!K77,"AAAAAG/+lfA=")</f>
        <v>#VALUE!</v>
      </c>
      <c r="IH11" t="e">
        <f>AND('Application, cook'!L77,"AAAAAG/+lfE=")</f>
        <v>#VALUE!</v>
      </c>
      <c r="II11" t="e">
        <f>AND('Application, cook'!M77,"AAAAAG/+lfI=")</f>
        <v>#VALUE!</v>
      </c>
      <c r="IJ11" t="e">
        <f>AND('Application, cook'!N77,"AAAAAG/+lfM=")</f>
        <v>#VALUE!</v>
      </c>
      <c r="IK11">
        <f>IF('Application, cook'!78:78,"AAAAAG/+lfQ=",0)</f>
        <v>0</v>
      </c>
      <c r="IL11" t="e">
        <f>AND('Application, cook'!A78,"AAAAAG/+lfU=")</f>
        <v>#VALUE!</v>
      </c>
      <c r="IM11" t="e">
        <f>AND('Application, cook'!B78,"AAAAAG/+lfY=")</f>
        <v>#VALUE!</v>
      </c>
      <c r="IN11" t="e">
        <f>AND('Application, cook'!C78,"AAAAAG/+lfc=")</f>
        <v>#VALUE!</v>
      </c>
      <c r="IO11" t="e">
        <f>AND('Application, cook'!D78,"AAAAAG/+lfg=")</f>
        <v>#VALUE!</v>
      </c>
      <c r="IP11" t="e">
        <f>AND('Application, cook'!E78,"AAAAAG/+lfk=")</f>
        <v>#VALUE!</v>
      </c>
      <c r="IQ11" t="e">
        <f>AND('Application, cook'!F78,"AAAAAG/+lfo=")</f>
        <v>#VALUE!</v>
      </c>
      <c r="IR11" t="e">
        <f>AND('Application, cook'!G78,"AAAAAG/+lfs=")</f>
        <v>#VALUE!</v>
      </c>
      <c r="IS11" t="e">
        <f>AND('Application, cook'!H78,"AAAAAG/+lfw=")</f>
        <v>#VALUE!</v>
      </c>
      <c r="IT11" t="e">
        <f>AND('Application, cook'!I78,"AAAAAG/+lf0=")</f>
        <v>#VALUE!</v>
      </c>
      <c r="IU11" t="e">
        <f>AND('Application, cook'!J78,"AAAAAG/+lf4=")</f>
        <v>#VALUE!</v>
      </c>
      <c r="IV11" t="e">
        <f>AND('Application, cook'!K78,"AAAAAG/+lf8=")</f>
        <v>#VALUE!</v>
      </c>
    </row>
    <row r="12" spans="1:256" ht="12.75">
      <c r="A12" t="e">
        <f>AND('Application, cook'!L78,"AAAAAE9PvwA=")</f>
        <v>#VALUE!</v>
      </c>
      <c r="B12" t="e">
        <f>AND('Application, cook'!M78,"AAAAAE9PvwE=")</f>
        <v>#VALUE!</v>
      </c>
      <c r="C12" t="e">
        <f>AND('Application, cook'!N78,"AAAAAE9PvwI=")</f>
        <v>#VALUE!</v>
      </c>
      <c r="D12">
        <f>IF('Application, cook'!79:79,"AAAAAE9PvwM=",0)</f>
        <v>0</v>
      </c>
      <c r="E12" t="e">
        <f>AND('Application, cook'!A79,"AAAAAE9PvwQ=")</f>
        <v>#VALUE!</v>
      </c>
      <c r="F12" t="e">
        <f>AND('Application, cook'!B79,"AAAAAE9PvwU=")</f>
        <v>#VALUE!</v>
      </c>
      <c r="G12" t="e">
        <f>AND('Application, cook'!C79,"AAAAAE9PvwY=")</f>
        <v>#VALUE!</v>
      </c>
      <c r="H12" t="e">
        <f>AND('Application, cook'!D79,"AAAAAE9Pvwc=")</f>
        <v>#VALUE!</v>
      </c>
      <c r="I12" t="e">
        <f>AND('Application, cook'!E79,"AAAAAE9Pvwg=")</f>
        <v>#VALUE!</v>
      </c>
      <c r="J12" t="e">
        <f>AND('Application, cook'!F79,"AAAAAE9Pvwk=")</f>
        <v>#VALUE!</v>
      </c>
      <c r="K12" t="e">
        <f>AND('Application, cook'!G79,"AAAAAE9Pvwo=")</f>
        <v>#VALUE!</v>
      </c>
      <c r="L12" t="e">
        <f>AND('Application, cook'!H79,"AAAAAE9Pvws=")</f>
        <v>#VALUE!</v>
      </c>
      <c r="M12" t="e">
        <f>AND('Application, cook'!I79,"AAAAAE9Pvww=")</f>
        <v>#VALUE!</v>
      </c>
      <c r="N12" t="e">
        <f>AND('Application, cook'!J79,"AAAAAE9Pvw0=")</f>
        <v>#VALUE!</v>
      </c>
      <c r="O12" t="e">
        <f>AND('Application, cook'!K79,"AAAAAE9Pvw4=")</f>
        <v>#VALUE!</v>
      </c>
      <c r="P12" t="e">
        <f>AND('Application, cook'!L79,"AAAAAE9Pvw8=")</f>
        <v>#VALUE!</v>
      </c>
      <c r="Q12" t="e">
        <f>AND('Application, cook'!M79,"AAAAAE9PvxA=")</f>
        <v>#VALUE!</v>
      </c>
      <c r="R12" t="e">
        <f>AND('Application, cook'!N79,"AAAAAE9PvxE=")</f>
        <v>#VALUE!</v>
      </c>
      <c r="S12">
        <f>IF('Application, cook'!80:80,"AAAAAE9PvxI=",0)</f>
        <v>0</v>
      </c>
      <c r="T12" t="e">
        <f>AND('Application, cook'!A80,"AAAAAE9PvxM=")</f>
        <v>#VALUE!</v>
      </c>
      <c r="U12" t="e">
        <f>AND('Application, cook'!B80,"AAAAAE9PvxQ=")</f>
        <v>#VALUE!</v>
      </c>
      <c r="V12" t="e">
        <f>AND('Application, cook'!C80,"AAAAAE9PvxU=")</f>
        <v>#VALUE!</v>
      </c>
      <c r="W12" t="e">
        <f>AND('Application, cook'!D80,"AAAAAE9PvxY=")</f>
        <v>#VALUE!</v>
      </c>
      <c r="X12" t="e">
        <f>AND('Application, cook'!E80,"AAAAAE9Pvxc=")</f>
        <v>#VALUE!</v>
      </c>
      <c r="Y12" t="e">
        <f>AND('Application, cook'!F80,"AAAAAE9Pvxg=")</f>
        <v>#VALUE!</v>
      </c>
      <c r="Z12" t="e">
        <f>AND('Application, cook'!G80,"AAAAAE9Pvxk=")</f>
        <v>#VALUE!</v>
      </c>
      <c r="AA12" t="e">
        <f>AND('Application, cook'!H80,"AAAAAE9Pvxo=")</f>
        <v>#VALUE!</v>
      </c>
      <c r="AB12" t="e">
        <f>AND('Application, cook'!I80,"AAAAAE9Pvxs=")</f>
        <v>#VALUE!</v>
      </c>
      <c r="AC12" t="e">
        <f>AND('Application, cook'!J80,"AAAAAE9Pvxw=")</f>
        <v>#VALUE!</v>
      </c>
      <c r="AD12" t="e">
        <f>AND('Application, cook'!K80,"AAAAAE9Pvx0=")</f>
        <v>#VALUE!</v>
      </c>
      <c r="AE12" t="e">
        <f>AND('Application, cook'!L80,"AAAAAE9Pvx4=")</f>
        <v>#VALUE!</v>
      </c>
      <c r="AF12" t="e">
        <f>AND('Application, cook'!M80,"AAAAAE9Pvx8=")</f>
        <v>#VALUE!</v>
      </c>
      <c r="AG12" t="e">
        <f>AND('Application, cook'!N80,"AAAAAE9PvyA=")</f>
        <v>#VALUE!</v>
      </c>
      <c r="AH12">
        <f>IF('Application, cook'!81:81,"AAAAAE9PvyE=",0)</f>
        <v>0</v>
      </c>
      <c r="AI12" t="e">
        <f>AND('Application, cook'!A81,"AAAAAE9PvyI=")</f>
        <v>#VALUE!</v>
      </c>
      <c r="AJ12" t="e">
        <f>AND('Application, cook'!B81,"AAAAAE9PvyM=")</f>
        <v>#VALUE!</v>
      </c>
      <c r="AK12" t="e">
        <f>AND('Application, cook'!C81,"AAAAAE9PvyQ=")</f>
        <v>#VALUE!</v>
      </c>
      <c r="AL12" t="e">
        <f>AND('Application, cook'!D81,"AAAAAE9PvyU=")</f>
        <v>#VALUE!</v>
      </c>
      <c r="AM12" t="e">
        <f>AND('Application, cook'!E81,"AAAAAE9PvyY=")</f>
        <v>#VALUE!</v>
      </c>
      <c r="AN12" t="e">
        <f>AND('Application, cook'!F81,"AAAAAE9Pvyc=")</f>
        <v>#VALUE!</v>
      </c>
      <c r="AO12" t="e">
        <f>AND('Application, cook'!G81,"AAAAAE9Pvyg=")</f>
        <v>#VALUE!</v>
      </c>
      <c r="AP12" t="e">
        <f>AND('Application, cook'!H81,"AAAAAE9Pvyk=")</f>
        <v>#VALUE!</v>
      </c>
      <c r="AQ12" t="e">
        <f>AND('Application, cook'!I81,"AAAAAE9Pvyo=")</f>
        <v>#VALUE!</v>
      </c>
      <c r="AR12" t="e">
        <f>AND('Application, cook'!J81,"AAAAAE9Pvys=")</f>
        <v>#VALUE!</v>
      </c>
      <c r="AS12" t="e">
        <f>AND('Application, cook'!K81,"AAAAAE9Pvyw=")</f>
        <v>#VALUE!</v>
      </c>
      <c r="AT12" t="e">
        <f>AND('Application, cook'!L81,"AAAAAE9Pvy0=")</f>
        <v>#VALUE!</v>
      </c>
      <c r="AU12" t="e">
        <f>AND('Application, cook'!M81,"AAAAAE9Pvy4=")</f>
        <v>#VALUE!</v>
      </c>
      <c r="AV12" t="e">
        <f>AND('Application, cook'!N81,"AAAAAE9Pvy8=")</f>
        <v>#VALUE!</v>
      </c>
      <c r="AW12">
        <f>IF('Application, cook'!82:82,"AAAAAE9PvzA=",0)</f>
        <v>0</v>
      </c>
      <c r="AX12" t="e">
        <f>AND('Application, cook'!A82,"AAAAAE9PvzE=")</f>
        <v>#VALUE!</v>
      </c>
      <c r="AY12" t="e">
        <f>AND('Application, cook'!B82,"AAAAAE9PvzI=")</f>
        <v>#VALUE!</v>
      </c>
      <c r="AZ12" t="e">
        <f>AND('Application, cook'!C82,"AAAAAE9PvzM=")</f>
        <v>#VALUE!</v>
      </c>
      <c r="BA12" t="e">
        <f>AND('Application, cook'!D82,"AAAAAE9PvzQ=")</f>
        <v>#VALUE!</v>
      </c>
      <c r="BB12" t="e">
        <f>AND('Application, cook'!E82,"AAAAAE9PvzU=")</f>
        <v>#VALUE!</v>
      </c>
      <c r="BC12" t="e">
        <f>AND('Application, cook'!F82,"AAAAAE9PvzY=")</f>
        <v>#VALUE!</v>
      </c>
      <c r="BD12" t="e">
        <f>AND('Application, cook'!G82,"AAAAAE9Pvzc=")</f>
        <v>#VALUE!</v>
      </c>
      <c r="BE12" t="e">
        <f>AND('Application, cook'!H82,"AAAAAE9Pvzg=")</f>
        <v>#VALUE!</v>
      </c>
      <c r="BF12" t="e">
        <f>AND('Application, cook'!I82,"AAAAAE9Pvzk=")</f>
        <v>#VALUE!</v>
      </c>
      <c r="BG12" t="e">
        <f>AND('Application, cook'!J82,"AAAAAE9Pvzo=")</f>
        <v>#VALUE!</v>
      </c>
      <c r="BH12" t="e">
        <f>AND('Application, cook'!K82,"AAAAAE9Pvzs=")</f>
        <v>#VALUE!</v>
      </c>
      <c r="BI12" t="e">
        <f>AND('Application, cook'!L82,"AAAAAE9Pvzw=")</f>
        <v>#VALUE!</v>
      </c>
      <c r="BJ12" t="e">
        <f>AND('Application, cook'!M82,"AAAAAE9Pvz0=")</f>
        <v>#VALUE!</v>
      </c>
      <c r="BK12" t="e">
        <f>AND('Application, cook'!N82,"AAAAAE9Pvz4=")</f>
        <v>#VALUE!</v>
      </c>
      <c r="BL12">
        <f>IF('Application, cook'!83:83,"AAAAAE9Pvz8=",0)</f>
        <v>0</v>
      </c>
      <c r="BM12" t="e">
        <f>AND('Application, cook'!A83,"AAAAAE9Pv0A=")</f>
        <v>#VALUE!</v>
      </c>
      <c r="BN12" t="e">
        <f>AND('Application, cook'!B83,"AAAAAE9Pv0E=")</f>
        <v>#VALUE!</v>
      </c>
      <c r="BO12" t="e">
        <f>AND('Application, cook'!C83,"AAAAAE9Pv0I=")</f>
        <v>#VALUE!</v>
      </c>
      <c r="BP12" t="e">
        <f>AND('Application, cook'!D83,"AAAAAE9Pv0M=")</f>
        <v>#VALUE!</v>
      </c>
      <c r="BQ12" t="e">
        <f>AND('Application, cook'!E83,"AAAAAE9Pv0Q=")</f>
        <v>#VALUE!</v>
      </c>
      <c r="BR12" t="e">
        <f>AND('Application, cook'!F83,"AAAAAE9Pv0U=")</f>
        <v>#VALUE!</v>
      </c>
      <c r="BS12" t="e">
        <f>AND('Application, cook'!G83,"AAAAAE9Pv0Y=")</f>
        <v>#VALUE!</v>
      </c>
      <c r="BT12" t="e">
        <f>AND('Application, cook'!H83,"AAAAAE9Pv0c=")</f>
        <v>#VALUE!</v>
      </c>
      <c r="BU12" t="e">
        <f>AND('Application, cook'!I83,"AAAAAE9Pv0g=")</f>
        <v>#VALUE!</v>
      </c>
      <c r="BV12" t="e">
        <f>AND('Application, cook'!J83,"AAAAAE9Pv0k=")</f>
        <v>#VALUE!</v>
      </c>
      <c r="BW12" t="e">
        <f>AND('Application, cook'!K83,"AAAAAE9Pv0o=")</f>
        <v>#VALUE!</v>
      </c>
      <c r="BX12" t="e">
        <f>AND('Application, cook'!L83,"AAAAAE9Pv0s=")</f>
        <v>#VALUE!</v>
      </c>
      <c r="BY12" t="e">
        <f>AND('Application, cook'!M83,"AAAAAE9Pv0w=")</f>
        <v>#VALUE!</v>
      </c>
      <c r="BZ12" t="e">
        <f>AND('Application, cook'!N83,"AAAAAE9Pv00=")</f>
        <v>#VALUE!</v>
      </c>
      <c r="CA12">
        <f>IF('Application, cook'!84:84,"AAAAAE9Pv04=",0)</f>
        <v>0</v>
      </c>
      <c r="CB12" t="e">
        <f>AND('Application, cook'!A84,"AAAAAE9Pv08=")</f>
        <v>#VALUE!</v>
      </c>
      <c r="CC12" t="e">
        <f>AND('Application, cook'!B84,"AAAAAE9Pv1A=")</f>
        <v>#VALUE!</v>
      </c>
      <c r="CD12" t="e">
        <f>AND('Application, cook'!C84,"AAAAAE9Pv1E=")</f>
        <v>#VALUE!</v>
      </c>
      <c r="CE12" t="e">
        <f>AND('Application, cook'!D84,"AAAAAE9Pv1I=")</f>
        <v>#VALUE!</v>
      </c>
      <c r="CF12" t="e">
        <f>AND('Application, cook'!E84,"AAAAAE9Pv1M=")</f>
        <v>#VALUE!</v>
      </c>
      <c r="CG12" t="e">
        <f>AND('Application, cook'!F84,"AAAAAE9Pv1Q=")</f>
        <v>#VALUE!</v>
      </c>
      <c r="CH12" t="e">
        <f>AND('Application, cook'!G84,"AAAAAE9Pv1U=")</f>
        <v>#VALUE!</v>
      </c>
      <c r="CI12" t="e">
        <f>AND('Application, cook'!H84,"AAAAAE9Pv1Y=")</f>
        <v>#VALUE!</v>
      </c>
      <c r="CJ12" t="e">
        <f>AND('Application, cook'!I84,"AAAAAE9Pv1c=")</f>
        <v>#VALUE!</v>
      </c>
      <c r="CK12" t="e">
        <f>AND('Application, cook'!J84,"AAAAAE9Pv1g=")</f>
        <v>#VALUE!</v>
      </c>
      <c r="CL12" t="e">
        <f>AND('Application, cook'!K84,"AAAAAE9Pv1k=")</f>
        <v>#VALUE!</v>
      </c>
      <c r="CM12" t="e">
        <f>AND('Application, cook'!L84,"AAAAAE9Pv1o=")</f>
        <v>#VALUE!</v>
      </c>
      <c r="CN12" t="e">
        <f>AND('Application, cook'!M84,"AAAAAE9Pv1s=")</f>
        <v>#VALUE!</v>
      </c>
      <c r="CO12" t="e">
        <f>AND('Application, cook'!N84,"AAAAAE9Pv1w=")</f>
        <v>#VALUE!</v>
      </c>
      <c r="CP12">
        <f>IF('Application, cook'!85:85,"AAAAAE9Pv10=",0)</f>
        <v>0</v>
      </c>
      <c r="CQ12" t="e">
        <f>AND('Application, cook'!A85,"AAAAAE9Pv14=")</f>
        <v>#VALUE!</v>
      </c>
      <c r="CR12" t="e">
        <f>AND('Application, cook'!B85,"AAAAAE9Pv18=")</f>
        <v>#VALUE!</v>
      </c>
      <c r="CS12" t="e">
        <f>AND('Application, cook'!C85,"AAAAAE9Pv2A=")</f>
        <v>#VALUE!</v>
      </c>
      <c r="CT12" t="e">
        <f>AND('Application, cook'!D85,"AAAAAE9Pv2E=")</f>
        <v>#VALUE!</v>
      </c>
      <c r="CU12" t="e">
        <f>AND('Application, cook'!E85,"AAAAAE9Pv2I=")</f>
        <v>#VALUE!</v>
      </c>
      <c r="CV12" t="e">
        <f>AND('Application, cook'!F85,"AAAAAE9Pv2M=")</f>
        <v>#VALUE!</v>
      </c>
      <c r="CW12" t="e">
        <f>AND('Application, cook'!G85,"AAAAAE9Pv2Q=")</f>
        <v>#VALUE!</v>
      </c>
      <c r="CX12" t="e">
        <f>AND('Application, cook'!H85,"AAAAAE9Pv2U=")</f>
        <v>#VALUE!</v>
      </c>
      <c r="CY12" t="e">
        <f>AND('Application, cook'!I85,"AAAAAE9Pv2Y=")</f>
        <v>#VALUE!</v>
      </c>
      <c r="CZ12" t="e">
        <f>AND('Application, cook'!J85,"AAAAAE9Pv2c=")</f>
        <v>#VALUE!</v>
      </c>
      <c r="DA12" t="e">
        <f>AND('Application, cook'!K85,"AAAAAE9Pv2g=")</f>
        <v>#VALUE!</v>
      </c>
      <c r="DB12" t="e">
        <f>AND('Application, cook'!L85,"AAAAAE9Pv2k=")</f>
        <v>#VALUE!</v>
      </c>
      <c r="DC12" t="e">
        <f>AND('Application, cook'!M85,"AAAAAE9Pv2o=")</f>
        <v>#VALUE!</v>
      </c>
      <c r="DD12" t="e">
        <f>AND('Application, cook'!N85,"AAAAAE9Pv2s=")</f>
        <v>#VALUE!</v>
      </c>
      <c r="DE12">
        <f>IF('Application, cook'!86:86,"AAAAAE9Pv2w=",0)</f>
        <v>0</v>
      </c>
      <c r="DF12" t="e">
        <f>AND('Application, cook'!A86,"AAAAAE9Pv20=")</f>
        <v>#VALUE!</v>
      </c>
      <c r="DG12" t="e">
        <f>AND('Application, cook'!B86,"AAAAAE9Pv24=")</f>
        <v>#VALUE!</v>
      </c>
      <c r="DH12" t="e">
        <f>AND('Application, cook'!C86,"AAAAAE9Pv28=")</f>
        <v>#VALUE!</v>
      </c>
      <c r="DI12" t="e">
        <f>AND('Application, cook'!D86,"AAAAAE9Pv3A=")</f>
        <v>#VALUE!</v>
      </c>
      <c r="DJ12" t="e">
        <f>AND('Application, cook'!E86,"AAAAAE9Pv3E=")</f>
        <v>#VALUE!</v>
      </c>
      <c r="DK12" t="e">
        <f>AND('Application, cook'!F86,"AAAAAE9Pv3I=")</f>
        <v>#VALUE!</v>
      </c>
      <c r="DL12" t="e">
        <f>AND('Application, cook'!G86,"AAAAAE9Pv3M=")</f>
        <v>#VALUE!</v>
      </c>
      <c r="DM12" t="e">
        <f>AND('Application, cook'!H86,"AAAAAE9Pv3Q=")</f>
        <v>#VALUE!</v>
      </c>
      <c r="DN12" t="e">
        <f>AND('Application, cook'!I86,"AAAAAE9Pv3U=")</f>
        <v>#VALUE!</v>
      </c>
      <c r="DO12" t="e">
        <f>AND('Application, cook'!J86,"AAAAAE9Pv3Y=")</f>
        <v>#VALUE!</v>
      </c>
      <c r="DP12" t="e">
        <f>AND('Application, cook'!K86,"AAAAAE9Pv3c=")</f>
        <v>#VALUE!</v>
      </c>
      <c r="DQ12" t="e">
        <f>AND('Application, cook'!L86,"AAAAAE9Pv3g=")</f>
        <v>#VALUE!</v>
      </c>
      <c r="DR12" t="e">
        <f>AND('Application, cook'!M86,"AAAAAE9Pv3k=")</f>
        <v>#VALUE!</v>
      </c>
      <c r="DS12" t="e">
        <f>AND('Application, cook'!N86,"AAAAAE9Pv3o=")</f>
        <v>#VALUE!</v>
      </c>
      <c r="DT12">
        <f>IF('Application, cook'!87:87,"AAAAAE9Pv3s=",0)</f>
        <v>0</v>
      </c>
      <c r="DU12" t="e">
        <f>AND('Application, cook'!A87,"AAAAAE9Pv3w=")</f>
        <v>#VALUE!</v>
      </c>
      <c r="DV12" t="e">
        <f>AND('Application, cook'!B87,"AAAAAE9Pv30=")</f>
        <v>#VALUE!</v>
      </c>
      <c r="DW12" t="e">
        <f>AND('Application, cook'!C87,"AAAAAE9Pv34=")</f>
        <v>#VALUE!</v>
      </c>
      <c r="DX12" t="e">
        <f>AND('Application, cook'!D87,"AAAAAE9Pv38=")</f>
        <v>#VALUE!</v>
      </c>
      <c r="DY12" t="e">
        <f>AND('Application, cook'!E87,"AAAAAE9Pv4A=")</f>
        <v>#VALUE!</v>
      </c>
      <c r="DZ12" t="e">
        <f>AND('Application, cook'!F87,"AAAAAE9Pv4E=")</f>
        <v>#VALUE!</v>
      </c>
      <c r="EA12" t="e">
        <f>AND('Application, cook'!G87,"AAAAAE9Pv4I=")</f>
        <v>#VALUE!</v>
      </c>
      <c r="EB12" t="e">
        <f>AND('Application, cook'!H87,"AAAAAE9Pv4M=")</f>
        <v>#VALUE!</v>
      </c>
      <c r="EC12" t="e">
        <f>AND('Application, cook'!I87,"AAAAAE9Pv4Q=")</f>
        <v>#VALUE!</v>
      </c>
      <c r="ED12" t="e">
        <f>AND('Application, cook'!J87,"AAAAAE9Pv4U=")</f>
        <v>#VALUE!</v>
      </c>
      <c r="EE12" t="e">
        <f>AND('Application, cook'!K87,"AAAAAE9Pv4Y=")</f>
        <v>#VALUE!</v>
      </c>
      <c r="EF12" t="e">
        <f>AND('Application, cook'!L87,"AAAAAE9Pv4c=")</f>
        <v>#VALUE!</v>
      </c>
      <c r="EG12" t="e">
        <f>AND('Application, cook'!M87,"AAAAAE9Pv4g=")</f>
        <v>#VALUE!</v>
      </c>
      <c r="EH12" t="e">
        <f>AND('Application, cook'!N87,"AAAAAE9Pv4k=")</f>
        <v>#VALUE!</v>
      </c>
      <c r="EI12">
        <f>IF('Application, cook'!88:88,"AAAAAE9Pv4o=",0)</f>
        <v>0</v>
      </c>
      <c r="EJ12" t="e">
        <f>AND('Application, cook'!A88,"AAAAAE9Pv4s=")</f>
        <v>#VALUE!</v>
      </c>
      <c r="EK12" t="e">
        <f>AND('Application, cook'!B88,"AAAAAE9Pv4w=")</f>
        <v>#VALUE!</v>
      </c>
      <c r="EL12" t="e">
        <f>AND('Application, cook'!C88,"AAAAAE9Pv40=")</f>
        <v>#VALUE!</v>
      </c>
      <c r="EM12" t="e">
        <f>AND('Application, cook'!D88,"AAAAAE9Pv44=")</f>
        <v>#VALUE!</v>
      </c>
      <c r="EN12" t="e">
        <f>AND('Application, cook'!E88,"AAAAAE9Pv48=")</f>
        <v>#VALUE!</v>
      </c>
      <c r="EO12" t="e">
        <f>AND('Application, cook'!F88,"AAAAAE9Pv5A=")</f>
        <v>#VALUE!</v>
      </c>
      <c r="EP12" t="e">
        <f>AND('Application, cook'!G88,"AAAAAE9Pv5E=")</f>
        <v>#VALUE!</v>
      </c>
      <c r="EQ12" t="e">
        <f>AND('Application, cook'!H88,"AAAAAE9Pv5I=")</f>
        <v>#VALUE!</v>
      </c>
      <c r="ER12" t="e">
        <f>AND('Application, cook'!I88,"AAAAAE9Pv5M=")</f>
        <v>#VALUE!</v>
      </c>
      <c r="ES12" t="e">
        <f>AND('Application, cook'!J88,"AAAAAE9Pv5Q=")</f>
        <v>#VALUE!</v>
      </c>
      <c r="ET12" t="e">
        <f>AND('Application, cook'!K88,"AAAAAE9Pv5U=")</f>
        <v>#VALUE!</v>
      </c>
      <c r="EU12" t="e">
        <f>AND('Application, cook'!L88,"AAAAAE9Pv5Y=")</f>
        <v>#VALUE!</v>
      </c>
      <c r="EV12" t="e">
        <f>AND('Application, cook'!M88,"AAAAAE9Pv5c=")</f>
        <v>#VALUE!</v>
      </c>
      <c r="EW12" t="e">
        <f>AND('Application, cook'!N88,"AAAAAE9Pv5g=")</f>
        <v>#VALUE!</v>
      </c>
      <c r="EX12">
        <f>IF('Application, cook'!89:89,"AAAAAE9Pv5k=",0)</f>
        <v>0</v>
      </c>
      <c r="EY12" t="e">
        <f>AND('Application, cook'!A89,"AAAAAE9Pv5o=")</f>
        <v>#VALUE!</v>
      </c>
      <c r="EZ12" t="e">
        <f>AND('Application, cook'!B89,"AAAAAE9Pv5s=")</f>
        <v>#VALUE!</v>
      </c>
      <c r="FA12" t="e">
        <f>AND('Application, cook'!C89,"AAAAAE9Pv5w=")</f>
        <v>#VALUE!</v>
      </c>
      <c r="FB12" t="e">
        <f>AND('Application, cook'!D89,"AAAAAE9Pv50=")</f>
        <v>#VALUE!</v>
      </c>
      <c r="FC12" t="e">
        <f>AND('Application, cook'!E89,"AAAAAE9Pv54=")</f>
        <v>#VALUE!</v>
      </c>
      <c r="FD12" t="e">
        <f>AND('Application, cook'!F89,"AAAAAE9Pv58=")</f>
        <v>#VALUE!</v>
      </c>
      <c r="FE12" t="e">
        <f>AND('Application, cook'!G89,"AAAAAE9Pv6A=")</f>
        <v>#VALUE!</v>
      </c>
      <c r="FF12" t="e">
        <f>AND('Application, cook'!H89,"AAAAAE9Pv6E=")</f>
        <v>#VALUE!</v>
      </c>
      <c r="FG12" t="e">
        <f>AND('Application, cook'!I89,"AAAAAE9Pv6I=")</f>
        <v>#VALUE!</v>
      </c>
      <c r="FH12" t="e">
        <f>AND('Application, cook'!J89,"AAAAAE9Pv6M=")</f>
        <v>#VALUE!</v>
      </c>
      <c r="FI12" t="e">
        <f>AND('Application, cook'!K89,"AAAAAE9Pv6Q=")</f>
        <v>#VALUE!</v>
      </c>
      <c r="FJ12" t="e">
        <f>AND('Application, cook'!L89,"AAAAAE9Pv6U=")</f>
        <v>#VALUE!</v>
      </c>
      <c r="FK12" t="e">
        <f>AND('Application, cook'!M89,"AAAAAE9Pv6Y=")</f>
        <v>#VALUE!</v>
      </c>
      <c r="FL12" t="e">
        <f>AND('Application, cook'!N89,"AAAAAE9Pv6c=")</f>
        <v>#VALUE!</v>
      </c>
      <c r="FM12">
        <f>IF('Application, cook'!90:90,"AAAAAE9Pv6g=",0)</f>
        <v>0</v>
      </c>
      <c r="FN12" t="e">
        <f>AND('Application, cook'!A90,"AAAAAE9Pv6k=")</f>
        <v>#VALUE!</v>
      </c>
      <c r="FO12" t="e">
        <f>AND('Application, cook'!B90,"AAAAAE9Pv6o=")</f>
        <v>#VALUE!</v>
      </c>
      <c r="FP12" t="e">
        <f>AND('Application, cook'!C90,"AAAAAE9Pv6s=")</f>
        <v>#VALUE!</v>
      </c>
      <c r="FQ12" t="e">
        <f>AND('Application, cook'!D90,"AAAAAE9Pv6w=")</f>
        <v>#VALUE!</v>
      </c>
      <c r="FR12" t="e">
        <f>AND('Application, cook'!E90,"AAAAAE9Pv60=")</f>
        <v>#VALUE!</v>
      </c>
      <c r="FS12" t="e">
        <f>AND('Application, cook'!F90,"AAAAAE9Pv64=")</f>
        <v>#VALUE!</v>
      </c>
      <c r="FT12" t="e">
        <f>AND('Application, cook'!G90,"AAAAAE9Pv68=")</f>
        <v>#VALUE!</v>
      </c>
      <c r="FU12" t="e">
        <f>AND('Application, cook'!H90,"AAAAAE9Pv7A=")</f>
        <v>#VALUE!</v>
      </c>
      <c r="FV12" t="e">
        <f>AND('Application, cook'!I90,"AAAAAE9Pv7E=")</f>
        <v>#VALUE!</v>
      </c>
      <c r="FW12" t="e">
        <f>AND('Application, cook'!J90,"AAAAAE9Pv7I=")</f>
        <v>#VALUE!</v>
      </c>
      <c r="FX12" t="e">
        <f>AND('Application, cook'!K90,"AAAAAE9Pv7M=")</f>
        <v>#VALUE!</v>
      </c>
      <c r="FY12" t="e">
        <f>AND('Application, cook'!L90,"AAAAAE9Pv7Q=")</f>
        <v>#VALUE!</v>
      </c>
      <c r="FZ12" t="e">
        <f>AND('Application, cook'!M90,"AAAAAE9Pv7U=")</f>
        <v>#VALUE!</v>
      </c>
      <c r="GA12" t="e">
        <f>AND('Application, cook'!N90,"AAAAAE9Pv7Y=")</f>
        <v>#VALUE!</v>
      </c>
      <c r="GB12">
        <f>IF('Application, cook'!91:91,"AAAAAE9Pv7c=",0)</f>
        <v>0</v>
      </c>
      <c r="GC12" t="e">
        <f>AND('Application, cook'!A91,"AAAAAE9Pv7g=")</f>
        <v>#VALUE!</v>
      </c>
      <c r="GD12" t="e">
        <f>AND('Application, cook'!B91,"AAAAAE9Pv7k=")</f>
        <v>#VALUE!</v>
      </c>
      <c r="GE12" t="e">
        <f>AND('Application, cook'!C91,"AAAAAE9Pv7o=")</f>
        <v>#VALUE!</v>
      </c>
      <c r="GF12" t="e">
        <f>AND('Application, cook'!D91,"AAAAAE9Pv7s=")</f>
        <v>#VALUE!</v>
      </c>
      <c r="GG12" t="e">
        <f>AND('Application, cook'!E91,"AAAAAE9Pv7w=")</f>
        <v>#VALUE!</v>
      </c>
      <c r="GH12" t="e">
        <f>AND('Application, cook'!F91,"AAAAAE9Pv70=")</f>
        <v>#VALUE!</v>
      </c>
      <c r="GI12" t="e">
        <f>AND('Application, cook'!G91,"AAAAAE9Pv74=")</f>
        <v>#VALUE!</v>
      </c>
      <c r="GJ12" t="e">
        <f>AND('Application, cook'!H91,"AAAAAE9Pv78=")</f>
        <v>#VALUE!</v>
      </c>
      <c r="GK12" t="e">
        <f>AND('Application, cook'!I91,"AAAAAE9Pv8A=")</f>
        <v>#VALUE!</v>
      </c>
      <c r="GL12" t="e">
        <f>AND('Application, cook'!J91,"AAAAAE9Pv8E=")</f>
        <v>#VALUE!</v>
      </c>
      <c r="GM12" t="e">
        <f>AND('Application, cook'!K91,"AAAAAE9Pv8I=")</f>
        <v>#VALUE!</v>
      </c>
      <c r="GN12" t="e">
        <f>AND('Application, cook'!L91,"AAAAAE9Pv8M=")</f>
        <v>#VALUE!</v>
      </c>
      <c r="GO12" t="e">
        <f>AND('Application, cook'!M91,"AAAAAE9Pv8Q=")</f>
        <v>#VALUE!</v>
      </c>
      <c r="GP12" t="e">
        <f>AND('Application, cook'!N91,"AAAAAE9Pv8U=")</f>
        <v>#VALUE!</v>
      </c>
      <c r="GQ12">
        <f>IF('Application, cook'!92:92,"AAAAAE9Pv8Y=",0)</f>
        <v>0</v>
      </c>
      <c r="GR12" t="e">
        <f>AND('Application, cook'!A92,"AAAAAE9Pv8c=")</f>
        <v>#VALUE!</v>
      </c>
      <c r="GS12" t="e">
        <f>AND('Application, cook'!B92,"AAAAAE9Pv8g=")</f>
        <v>#VALUE!</v>
      </c>
      <c r="GT12" t="e">
        <f>AND('Application, cook'!C92,"AAAAAE9Pv8k=")</f>
        <v>#VALUE!</v>
      </c>
      <c r="GU12" t="e">
        <f>AND('Application, cook'!D92,"AAAAAE9Pv8o=")</f>
        <v>#VALUE!</v>
      </c>
      <c r="GV12" t="e">
        <f>AND('Application, cook'!E92,"AAAAAE9Pv8s=")</f>
        <v>#VALUE!</v>
      </c>
      <c r="GW12" t="e">
        <f>AND('Application, cook'!F92,"AAAAAE9Pv8w=")</f>
        <v>#VALUE!</v>
      </c>
      <c r="GX12" t="e">
        <f>AND('Application, cook'!G92,"AAAAAE9Pv80=")</f>
        <v>#VALUE!</v>
      </c>
      <c r="GY12" t="e">
        <f>AND('Application, cook'!H92,"AAAAAE9Pv84=")</f>
        <v>#VALUE!</v>
      </c>
      <c r="GZ12" t="e">
        <f>AND('Application, cook'!I92,"AAAAAE9Pv88=")</f>
        <v>#VALUE!</v>
      </c>
      <c r="HA12" t="e">
        <f>AND('Application, cook'!J92,"AAAAAE9Pv9A=")</f>
        <v>#VALUE!</v>
      </c>
      <c r="HB12" t="e">
        <f>AND('Application, cook'!K92,"AAAAAE9Pv9E=")</f>
        <v>#VALUE!</v>
      </c>
      <c r="HC12" t="e">
        <f>AND('Application, cook'!L92,"AAAAAE9Pv9I=")</f>
        <v>#VALUE!</v>
      </c>
      <c r="HD12" t="e">
        <f>AND('Application, cook'!M92,"AAAAAE9Pv9M=")</f>
        <v>#VALUE!</v>
      </c>
      <c r="HE12" t="e">
        <f>AND('Application, cook'!N92,"AAAAAE9Pv9Q=")</f>
        <v>#VALUE!</v>
      </c>
      <c r="HF12">
        <f>IF('Application, cook'!93:93,"AAAAAE9Pv9U=",0)</f>
        <v>0</v>
      </c>
      <c r="HG12" t="e">
        <f>AND('Application, cook'!A93,"AAAAAE9Pv9Y=")</f>
        <v>#VALUE!</v>
      </c>
      <c r="HH12" t="e">
        <f>AND('Application, cook'!B93,"AAAAAE9Pv9c=")</f>
        <v>#VALUE!</v>
      </c>
      <c r="HI12" t="e">
        <f>AND('Application, cook'!C93,"AAAAAE9Pv9g=")</f>
        <v>#VALUE!</v>
      </c>
      <c r="HJ12" t="e">
        <f>AND('Application, cook'!D93,"AAAAAE9Pv9k=")</f>
        <v>#VALUE!</v>
      </c>
      <c r="HK12" t="e">
        <f>AND('Application, cook'!E93,"AAAAAE9Pv9o=")</f>
        <v>#VALUE!</v>
      </c>
      <c r="HL12" t="e">
        <f>AND('Application, cook'!F93,"AAAAAE9Pv9s=")</f>
        <v>#VALUE!</v>
      </c>
      <c r="HM12" t="e">
        <f>AND('Application, cook'!G93,"AAAAAE9Pv9w=")</f>
        <v>#VALUE!</v>
      </c>
      <c r="HN12" t="e">
        <f>AND('Application, cook'!H93,"AAAAAE9Pv90=")</f>
        <v>#VALUE!</v>
      </c>
      <c r="HO12" t="e">
        <f>AND('Application, cook'!I93,"AAAAAE9Pv94=")</f>
        <v>#VALUE!</v>
      </c>
      <c r="HP12" t="e">
        <f>AND('Application, cook'!J93,"AAAAAE9Pv98=")</f>
        <v>#VALUE!</v>
      </c>
      <c r="HQ12" t="e">
        <f>AND('Application, cook'!K93,"AAAAAE9Pv+A=")</f>
        <v>#VALUE!</v>
      </c>
      <c r="HR12" t="e">
        <f>AND('Application, cook'!L93,"AAAAAE9Pv+E=")</f>
        <v>#VALUE!</v>
      </c>
      <c r="HS12" t="e">
        <f>AND('Application, cook'!M93,"AAAAAE9Pv+I=")</f>
        <v>#VALUE!</v>
      </c>
      <c r="HT12" t="e">
        <f>AND('Application, cook'!N93,"AAAAAE9Pv+M=")</f>
        <v>#VALUE!</v>
      </c>
      <c r="HU12">
        <f>IF('Application, cook'!94:94,"AAAAAE9Pv+Q=",0)</f>
        <v>0</v>
      </c>
      <c r="HV12" t="e">
        <f>AND('Application, cook'!A94,"AAAAAE9Pv+U=")</f>
        <v>#VALUE!</v>
      </c>
      <c r="HW12" t="e">
        <f>AND('Application, cook'!B94,"AAAAAE9Pv+Y=")</f>
        <v>#VALUE!</v>
      </c>
      <c r="HX12" t="e">
        <f>AND('Application, cook'!C94,"AAAAAE9Pv+c=")</f>
        <v>#VALUE!</v>
      </c>
      <c r="HY12" t="e">
        <f>AND('Application, cook'!D94,"AAAAAE9Pv+g=")</f>
        <v>#VALUE!</v>
      </c>
      <c r="HZ12" t="e">
        <f>AND('Application, cook'!E94,"AAAAAE9Pv+k=")</f>
        <v>#VALUE!</v>
      </c>
      <c r="IA12" t="e">
        <f>AND('Application, cook'!F94,"AAAAAE9Pv+o=")</f>
        <v>#VALUE!</v>
      </c>
      <c r="IB12" t="e">
        <f>AND('Application, cook'!G94,"AAAAAE9Pv+s=")</f>
        <v>#VALUE!</v>
      </c>
      <c r="IC12" t="e">
        <f>AND('Application, cook'!H94,"AAAAAE9Pv+w=")</f>
        <v>#VALUE!</v>
      </c>
      <c r="ID12" t="e">
        <f>AND('Application, cook'!I94,"AAAAAE9Pv+0=")</f>
        <v>#VALUE!</v>
      </c>
      <c r="IE12" t="e">
        <f>AND('Application, cook'!J94,"AAAAAE9Pv+4=")</f>
        <v>#VALUE!</v>
      </c>
      <c r="IF12" t="e">
        <f>AND('Application, cook'!K94,"AAAAAE9Pv+8=")</f>
        <v>#VALUE!</v>
      </c>
      <c r="IG12" t="e">
        <f>AND('Application, cook'!L94,"AAAAAE9Pv/A=")</f>
        <v>#VALUE!</v>
      </c>
      <c r="IH12" t="e">
        <f>AND('Application, cook'!M94,"AAAAAE9Pv/E=")</f>
        <v>#VALUE!</v>
      </c>
      <c r="II12" t="e">
        <f>AND('Application, cook'!N94,"AAAAAE9Pv/I=")</f>
        <v>#VALUE!</v>
      </c>
      <c r="IJ12">
        <f>IF('Application, cook'!95:95,"AAAAAE9Pv/M=",0)</f>
        <v>0</v>
      </c>
      <c r="IK12" t="e">
        <f>AND('Application, cook'!A95,"AAAAAE9Pv/Q=")</f>
        <v>#VALUE!</v>
      </c>
      <c r="IL12" t="e">
        <f>AND('Application, cook'!B95,"AAAAAE9Pv/U=")</f>
        <v>#VALUE!</v>
      </c>
      <c r="IM12" t="e">
        <f>AND('Application, cook'!C95,"AAAAAE9Pv/Y=")</f>
        <v>#VALUE!</v>
      </c>
      <c r="IN12" t="e">
        <f>AND('Application, cook'!D95,"AAAAAE9Pv/c=")</f>
        <v>#VALUE!</v>
      </c>
      <c r="IO12" t="e">
        <f>AND('Application, cook'!E95,"AAAAAE9Pv/g=")</f>
        <v>#VALUE!</v>
      </c>
      <c r="IP12" t="e">
        <f>AND('Application, cook'!F95,"AAAAAE9Pv/k=")</f>
        <v>#VALUE!</v>
      </c>
      <c r="IQ12" t="e">
        <f>AND('Application, cook'!G95,"AAAAAE9Pv/o=")</f>
        <v>#VALUE!</v>
      </c>
      <c r="IR12" t="e">
        <f>AND('Application, cook'!H95,"AAAAAE9Pv/s=")</f>
        <v>#VALUE!</v>
      </c>
      <c r="IS12" t="e">
        <f>AND('Application, cook'!I95,"AAAAAE9Pv/w=")</f>
        <v>#VALUE!</v>
      </c>
      <c r="IT12" t="e">
        <f>AND('Application, cook'!J95,"AAAAAE9Pv/0=")</f>
        <v>#VALUE!</v>
      </c>
      <c r="IU12" t="e">
        <f>AND('Application, cook'!K95,"AAAAAE9Pv/4=")</f>
        <v>#VALUE!</v>
      </c>
      <c r="IV12" t="e">
        <f>AND('Application, cook'!L95,"AAAAAE9Pv/8=")</f>
        <v>#VALUE!</v>
      </c>
    </row>
    <row r="13" spans="1:256" ht="12.75">
      <c r="A13" t="e">
        <f>AND('Application, cook'!M95,"AAAAAE6tuwA=")</f>
        <v>#VALUE!</v>
      </c>
      <c r="B13" t="e">
        <f>AND('Application, cook'!N95,"AAAAAE6tuwE=")</f>
        <v>#VALUE!</v>
      </c>
      <c r="C13">
        <f>IF('Application, cook'!96:96,"AAAAAE6tuwI=",0)</f>
        <v>0</v>
      </c>
      <c r="D13" t="e">
        <f>AND('Application, cook'!A96,"AAAAAE6tuwM=")</f>
        <v>#VALUE!</v>
      </c>
      <c r="E13" t="e">
        <f>AND('Application, cook'!B96,"AAAAAE6tuwQ=")</f>
        <v>#VALUE!</v>
      </c>
      <c r="F13" t="e">
        <f>AND('Application, cook'!C96,"AAAAAE6tuwU=")</f>
        <v>#VALUE!</v>
      </c>
      <c r="G13" t="e">
        <f>AND('Application, cook'!D96,"AAAAAE6tuwY=")</f>
        <v>#VALUE!</v>
      </c>
      <c r="H13" t="e">
        <f>AND('Application, cook'!E96,"AAAAAE6tuwc=")</f>
        <v>#VALUE!</v>
      </c>
      <c r="I13" t="e">
        <f>AND('Application, cook'!F96,"AAAAAE6tuwg=")</f>
        <v>#VALUE!</v>
      </c>
      <c r="J13" t="e">
        <f>AND('Application, cook'!G96,"AAAAAE6tuwk=")</f>
        <v>#VALUE!</v>
      </c>
      <c r="K13" t="e">
        <f>AND('Application, cook'!H96,"AAAAAE6tuwo=")</f>
        <v>#VALUE!</v>
      </c>
      <c r="L13" t="e">
        <f>AND('Application, cook'!I96,"AAAAAE6tuws=")</f>
        <v>#VALUE!</v>
      </c>
      <c r="M13" t="e">
        <f>AND('Application, cook'!J96,"AAAAAE6tuww=")</f>
        <v>#VALUE!</v>
      </c>
      <c r="N13" t="e">
        <f>AND('Application, cook'!K96,"AAAAAE6tuw0=")</f>
        <v>#VALUE!</v>
      </c>
      <c r="O13" t="e">
        <f>AND('Application, cook'!L96,"AAAAAE6tuw4=")</f>
        <v>#VALUE!</v>
      </c>
      <c r="P13" t="e">
        <f>AND('Application, cook'!M96,"AAAAAE6tuw8=")</f>
        <v>#VALUE!</v>
      </c>
      <c r="Q13" t="e">
        <f>AND('Application, cook'!N96,"AAAAAE6tuxA=")</f>
        <v>#VALUE!</v>
      </c>
      <c r="R13">
        <f>IF('Application, cook'!97:97,"AAAAAE6tuxE=",0)</f>
        <v>0</v>
      </c>
      <c r="S13" t="e">
        <f>AND('Application, cook'!A97,"AAAAAE6tuxI=")</f>
        <v>#VALUE!</v>
      </c>
      <c r="T13" t="e">
        <f>AND('Application, cook'!B97,"AAAAAE6tuxM=")</f>
        <v>#VALUE!</v>
      </c>
      <c r="U13" t="e">
        <f>AND('Application, cook'!C97,"AAAAAE6tuxQ=")</f>
        <v>#VALUE!</v>
      </c>
      <c r="V13" t="e">
        <f>AND('Application, cook'!D97,"AAAAAE6tuxU=")</f>
        <v>#VALUE!</v>
      </c>
      <c r="W13" t="e">
        <f>AND('Application, cook'!E97,"AAAAAE6tuxY=")</f>
        <v>#VALUE!</v>
      </c>
      <c r="X13" t="e">
        <f>AND('Application, cook'!F97,"AAAAAE6tuxc=")</f>
        <v>#VALUE!</v>
      </c>
      <c r="Y13" t="e">
        <f>AND('Application, cook'!G97,"AAAAAE6tuxg=")</f>
        <v>#VALUE!</v>
      </c>
      <c r="Z13" t="e">
        <f>AND('Application, cook'!H97,"AAAAAE6tuxk=")</f>
        <v>#VALUE!</v>
      </c>
      <c r="AA13" t="e">
        <f>AND('Application, cook'!I97,"AAAAAE6tuxo=")</f>
        <v>#VALUE!</v>
      </c>
      <c r="AB13" t="e">
        <f>AND('Application, cook'!J97,"AAAAAE6tuxs=")</f>
        <v>#VALUE!</v>
      </c>
      <c r="AC13" t="e">
        <f>AND('Application, cook'!K97,"AAAAAE6tuxw=")</f>
        <v>#VALUE!</v>
      </c>
      <c r="AD13" t="e">
        <f>AND('Application, cook'!L97,"AAAAAE6tux0=")</f>
        <v>#VALUE!</v>
      </c>
      <c r="AE13" t="e">
        <f>AND('Application, cook'!M97,"AAAAAE6tux4=")</f>
        <v>#VALUE!</v>
      </c>
      <c r="AF13" t="e">
        <f>AND('Application, cook'!N97,"AAAAAE6tux8=")</f>
        <v>#VALUE!</v>
      </c>
      <c r="AG13">
        <f>IF('Application, cook'!98:98,"AAAAAE6tuyA=",0)</f>
        <v>0</v>
      </c>
      <c r="AH13" t="e">
        <f>AND('Application, cook'!A98,"AAAAAE6tuyE=")</f>
        <v>#VALUE!</v>
      </c>
      <c r="AI13" t="e">
        <f>AND('Application, cook'!B98,"AAAAAE6tuyI=")</f>
        <v>#VALUE!</v>
      </c>
      <c r="AJ13" t="e">
        <f>AND('Application, cook'!C98,"AAAAAE6tuyM=")</f>
        <v>#VALUE!</v>
      </c>
      <c r="AK13" t="e">
        <f>AND('Application, cook'!D98,"AAAAAE6tuyQ=")</f>
        <v>#VALUE!</v>
      </c>
      <c r="AL13" t="e">
        <f>AND('Application, cook'!E98,"AAAAAE6tuyU=")</f>
        <v>#VALUE!</v>
      </c>
      <c r="AM13" t="e">
        <f>AND('Application, cook'!F98,"AAAAAE6tuyY=")</f>
        <v>#VALUE!</v>
      </c>
      <c r="AN13" t="e">
        <f>AND('Application, cook'!G98,"AAAAAE6tuyc=")</f>
        <v>#VALUE!</v>
      </c>
      <c r="AO13" t="e">
        <f>AND('Application, cook'!H98,"AAAAAE6tuyg=")</f>
        <v>#VALUE!</v>
      </c>
      <c r="AP13" t="e">
        <f>AND('Application, cook'!I98,"AAAAAE6tuyk=")</f>
        <v>#VALUE!</v>
      </c>
      <c r="AQ13" t="e">
        <f>AND('Application, cook'!J98,"AAAAAE6tuyo=")</f>
        <v>#VALUE!</v>
      </c>
      <c r="AR13" t="e">
        <f>AND('Application, cook'!K98,"AAAAAE6tuys=")</f>
        <v>#VALUE!</v>
      </c>
      <c r="AS13" t="e">
        <f>AND('Application, cook'!L98,"AAAAAE6tuyw=")</f>
        <v>#VALUE!</v>
      </c>
      <c r="AT13" t="e">
        <f>AND('Application, cook'!M98,"AAAAAE6tuy0=")</f>
        <v>#VALUE!</v>
      </c>
      <c r="AU13" t="e">
        <f>AND('Application, cook'!N98,"AAAAAE6tuy4=")</f>
        <v>#VALUE!</v>
      </c>
      <c r="AV13">
        <f>IF('Application, cook'!99:99,"AAAAAE6tuy8=",0)</f>
        <v>0</v>
      </c>
      <c r="AW13" t="e">
        <f>AND('Application, cook'!A99,"AAAAAE6tuzA=")</f>
        <v>#VALUE!</v>
      </c>
      <c r="AX13" t="e">
        <f>AND('Application, cook'!B99,"AAAAAE6tuzE=")</f>
        <v>#VALUE!</v>
      </c>
      <c r="AY13" t="e">
        <f>AND('Application, cook'!C99,"AAAAAE6tuzI=")</f>
        <v>#VALUE!</v>
      </c>
      <c r="AZ13" t="e">
        <f>AND('Application, cook'!D99,"AAAAAE6tuzM=")</f>
        <v>#VALUE!</v>
      </c>
      <c r="BA13" t="e">
        <f>AND('Application, cook'!E99,"AAAAAE6tuzQ=")</f>
        <v>#VALUE!</v>
      </c>
      <c r="BB13" t="e">
        <f>AND('Application, cook'!F99,"AAAAAE6tuzU=")</f>
        <v>#VALUE!</v>
      </c>
      <c r="BC13" t="e">
        <f>AND('Application, cook'!G99,"AAAAAE6tuzY=")</f>
        <v>#VALUE!</v>
      </c>
      <c r="BD13" t="e">
        <f>AND('Application, cook'!H99,"AAAAAE6tuzc=")</f>
        <v>#VALUE!</v>
      </c>
      <c r="BE13" t="e">
        <f>AND('Application, cook'!I99,"AAAAAE6tuzg=")</f>
        <v>#VALUE!</v>
      </c>
      <c r="BF13" t="e">
        <f>AND('Application, cook'!J99,"AAAAAE6tuzk=")</f>
        <v>#VALUE!</v>
      </c>
      <c r="BG13" t="e">
        <f>AND('Application, cook'!K99,"AAAAAE6tuzo=")</f>
        <v>#VALUE!</v>
      </c>
      <c r="BH13" t="e">
        <f>AND('Application, cook'!L99,"AAAAAE6tuzs=")</f>
        <v>#VALUE!</v>
      </c>
      <c r="BI13" t="e">
        <f>AND('Application, cook'!M99,"AAAAAE6tuzw=")</f>
        <v>#VALUE!</v>
      </c>
      <c r="BJ13" t="e">
        <f>AND('Application, cook'!N99,"AAAAAE6tuz0=")</f>
        <v>#VALUE!</v>
      </c>
      <c r="BK13">
        <f>IF('Application, cook'!100:100,"AAAAAE6tuz4=",0)</f>
        <v>0</v>
      </c>
      <c r="BL13" t="e">
        <f>AND('Application, cook'!A100,"AAAAAE6tuz8=")</f>
        <v>#VALUE!</v>
      </c>
      <c r="BM13" t="e">
        <f>AND('Application, cook'!B100,"AAAAAE6tu0A=")</f>
        <v>#VALUE!</v>
      </c>
      <c r="BN13" t="e">
        <f>AND('Application, cook'!C100,"AAAAAE6tu0E=")</f>
        <v>#VALUE!</v>
      </c>
      <c r="BO13" t="e">
        <f>AND('Application, cook'!D100,"AAAAAE6tu0I=")</f>
        <v>#VALUE!</v>
      </c>
      <c r="BP13" t="e">
        <f>AND('Application, cook'!E100,"AAAAAE6tu0M=")</f>
        <v>#VALUE!</v>
      </c>
      <c r="BQ13" t="e">
        <f>AND('Application, cook'!F100,"AAAAAE6tu0Q=")</f>
        <v>#VALUE!</v>
      </c>
      <c r="BR13" t="e">
        <f>AND('Application, cook'!G100,"AAAAAE6tu0U=")</f>
        <v>#VALUE!</v>
      </c>
      <c r="BS13" t="e">
        <f>AND('Application, cook'!H100,"AAAAAE6tu0Y=")</f>
        <v>#VALUE!</v>
      </c>
      <c r="BT13" t="e">
        <f>AND('Application, cook'!I100,"AAAAAE6tu0c=")</f>
        <v>#VALUE!</v>
      </c>
      <c r="BU13" t="e">
        <f>AND('Application, cook'!J100,"AAAAAE6tu0g=")</f>
        <v>#VALUE!</v>
      </c>
      <c r="BV13" t="e">
        <f>AND('Application, cook'!K100,"AAAAAE6tu0k=")</f>
        <v>#VALUE!</v>
      </c>
      <c r="BW13" t="e">
        <f>AND('Application, cook'!L100,"AAAAAE6tu0o=")</f>
        <v>#VALUE!</v>
      </c>
      <c r="BX13" t="e">
        <f>AND('Application, cook'!M100,"AAAAAE6tu0s=")</f>
        <v>#VALUE!</v>
      </c>
      <c r="BY13" t="e">
        <f>AND('Application, cook'!N100,"AAAAAE6tu0w=")</f>
        <v>#VALUE!</v>
      </c>
      <c r="BZ13">
        <f>IF('Application, cook'!101:101,"AAAAAE6tu00=",0)</f>
        <v>0</v>
      </c>
      <c r="CA13" t="e">
        <f>AND('Application, cook'!A101,"AAAAAE6tu04=")</f>
        <v>#VALUE!</v>
      </c>
      <c r="CB13" t="e">
        <f>AND('Application, cook'!B101,"AAAAAE6tu08=")</f>
        <v>#VALUE!</v>
      </c>
      <c r="CC13" t="e">
        <f>AND('Application, cook'!C101,"AAAAAE6tu1A=")</f>
        <v>#VALUE!</v>
      </c>
      <c r="CD13" t="e">
        <f>AND('Application, cook'!D101,"AAAAAE6tu1E=")</f>
        <v>#VALUE!</v>
      </c>
      <c r="CE13" t="e">
        <f>AND('Application, cook'!E101,"AAAAAE6tu1I=")</f>
        <v>#VALUE!</v>
      </c>
      <c r="CF13" t="e">
        <f>AND('Application, cook'!F101,"AAAAAE6tu1M=")</f>
        <v>#VALUE!</v>
      </c>
      <c r="CG13" t="e">
        <f>AND('Application, cook'!G101,"AAAAAE6tu1Q=")</f>
        <v>#VALUE!</v>
      </c>
      <c r="CH13" t="e">
        <f>AND('Application, cook'!H101,"AAAAAE6tu1U=")</f>
        <v>#VALUE!</v>
      </c>
      <c r="CI13" t="e">
        <f>AND('Application, cook'!I101,"AAAAAE6tu1Y=")</f>
        <v>#VALUE!</v>
      </c>
      <c r="CJ13" t="e">
        <f>AND('Application, cook'!J101,"AAAAAE6tu1c=")</f>
        <v>#VALUE!</v>
      </c>
      <c r="CK13" t="e">
        <f>AND('Application, cook'!K101,"AAAAAE6tu1g=")</f>
        <v>#VALUE!</v>
      </c>
      <c r="CL13" t="e">
        <f>AND('Application, cook'!L101,"AAAAAE6tu1k=")</f>
        <v>#VALUE!</v>
      </c>
      <c r="CM13" t="e">
        <f>AND('Application, cook'!M101,"AAAAAE6tu1o=")</f>
        <v>#VALUE!</v>
      </c>
      <c r="CN13" t="e">
        <f>AND('Application, cook'!N101,"AAAAAE6tu1s=")</f>
        <v>#VALUE!</v>
      </c>
      <c r="CO13">
        <f>IF('Application, cook'!102:102,"AAAAAE6tu1w=",0)</f>
        <v>0</v>
      </c>
      <c r="CP13" t="e">
        <f>AND('Application, cook'!A102,"AAAAAE6tu10=")</f>
        <v>#VALUE!</v>
      </c>
      <c r="CQ13" t="e">
        <f>AND('Application, cook'!B102,"AAAAAE6tu14=")</f>
        <v>#VALUE!</v>
      </c>
      <c r="CR13" t="e">
        <f>AND('Application, cook'!C102,"AAAAAE6tu18=")</f>
        <v>#VALUE!</v>
      </c>
      <c r="CS13" t="e">
        <f>AND('Application, cook'!D102,"AAAAAE6tu2A=")</f>
        <v>#VALUE!</v>
      </c>
      <c r="CT13" t="e">
        <f>AND('Application, cook'!E102,"AAAAAE6tu2E=")</f>
        <v>#VALUE!</v>
      </c>
      <c r="CU13" t="e">
        <f>AND('Application, cook'!F102,"AAAAAE6tu2I=")</f>
        <v>#VALUE!</v>
      </c>
      <c r="CV13" t="e">
        <f>AND('Application, cook'!G102,"AAAAAE6tu2M=")</f>
        <v>#VALUE!</v>
      </c>
      <c r="CW13" t="e">
        <f>AND('Application, cook'!H102,"AAAAAE6tu2Q=")</f>
        <v>#VALUE!</v>
      </c>
      <c r="CX13" t="e">
        <f>AND('Application, cook'!I102,"AAAAAE6tu2U=")</f>
        <v>#VALUE!</v>
      </c>
      <c r="CY13" t="e">
        <f>AND('Application, cook'!J102,"AAAAAE6tu2Y=")</f>
        <v>#VALUE!</v>
      </c>
      <c r="CZ13" t="e">
        <f>AND('Application, cook'!K102,"AAAAAE6tu2c=")</f>
        <v>#VALUE!</v>
      </c>
      <c r="DA13" t="e">
        <f>AND('Application, cook'!L102,"AAAAAE6tu2g=")</f>
        <v>#VALUE!</v>
      </c>
      <c r="DB13" t="e">
        <f>AND('Application, cook'!M102,"AAAAAE6tu2k=")</f>
        <v>#VALUE!</v>
      </c>
      <c r="DC13" t="e">
        <f>AND('Application, cook'!N102,"AAAAAE6tu2o=")</f>
        <v>#VALUE!</v>
      </c>
      <c r="DD13">
        <f>IF('Application, cook'!103:103,"AAAAAE6tu2s=",0)</f>
        <v>0</v>
      </c>
      <c r="DE13" t="e">
        <f>AND('Application, cook'!A103,"AAAAAE6tu2w=")</f>
        <v>#VALUE!</v>
      </c>
      <c r="DF13" t="e">
        <f>AND('Application, cook'!B103,"AAAAAE6tu20=")</f>
        <v>#VALUE!</v>
      </c>
      <c r="DG13" t="e">
        <f>AND('Application, cook'!C103,"AAAAAE6tu24=")</f>
        <v>#VALUE!</v>
      </c>
      <c r="DH13" t="e">
        <f>AND('Application, cook'!D103,"AAAAAE6tu28=")</f>
        <v>#VALUE!</v>
      </c>
      <c r="DI13" t="e">
        <f>AND('Application, cook'!E103,"AAAAAE6tu3A=")</f>
        <v>#VALUE!</v>
      </c>
      <c r="DJ13" t="e">
        <f>AND('Application, cook'!F103,"AAAAAE6tu3E=")</f>
        <v>#VALUE!</v>
      </c>
      <c r="DK13" t="e">
        <f>AND('Application, cook'!G103,"AAAAAE6tu3I=")</f>
        <v>#VALUE!</v>
      </c>
      <c r="DL13" t="e">
        <f>AND('Application, cook'!H103,"AAAAAE6tu3M=")</f>
        <v>#VALUE!</v>
      </c>
      <c r="DM13" t="e">
        <f>AND('Application, cook'!I103,"AAAAAE6tu3Q=")</f>
        <v>#VALUE!</v>
      </c>
      <c r="DN13" t="e">
        <f>AND('Application, cook'!J103,"AAAAAE6tu3U=")</f>
        <v>#VALUE!</v>
      </c>
      <c r="DO13" t="e">
        <f>AND('Application, cook'!K103,"AAAAAE6tu3Y=")</f>
        <v>#VALUE!</v>
      </c>
      <c r="DP13" t="e">
        <f>AND('Application, cook'!L103,"AAAAAE6tu3c=")</f>
        <v>#VALUE!</v>
      </c>
      <c r="DQ13" t="e">
        <f>AND('Application, cook'!M103,"AAAAAE6tu3g=")</f>
        <v>#VALUE!</v>
      </c>
      <c r="DR13" t="e">
        <f>AND('Application, cook'!N103,"AAAAAE6tu3k=")</f>
        <v>#VALUE!</v>
      </c>
      <c r="DS13">
        <f>IF('Application, cook'!104:104,"AAAAAE6tu3o=",0)</f>
        <v>0</v>
      </c>
      <c r="DT13" t="e">
        <f>AND('Application, cook'!A104,"AAAAAE6tu3s=")</f>
        <v>#VALUE!</v>
      </c>
      <c r="DU13" t="e">
        <f>AND('Application, cook'!B104,"AAAAAE6tu3w=")</f>
        <v>#VALUE!</v>
      </c>
      <c r="DV13" t="e">
        <f>AND('Application, cook'!C104,"AAAAAE6tu30=")</f>
        <v>#VALUE!</v>
      </c>
      <c r="DW13" t="e">
        <f>AND('Application, cook'!D104,"AAAAAE6tu34=")</f>
        <v>#VALUE!</v>
      </c>
      <c r="DX13" t="e">
        <f>AND('Application, cook'!E104,"AAAAAE6tu38=")</f>
        <v>#VALUE!</v>
      </c>
      <c r="DY13" t="e">
        <f>AND('Application, cook'!F104,"AAAAAE6tu4A=")</f>
        <v>#VALUE!</v>
      </c>
      <c r="DZ13" t="e">
        <f>AND('Application, cook'!G104,"AAAAAE6tu4E=")</f>
        <v>#VALUE!</v>
      </c>
      <c r="EA13" t="e">
        <f>AND('Application, cook'!H104,"AAAAAE6tu4I=")</f>
        <v>#VALUE!</v>
      </c>
      <c r="EB13" t="e">
        <f>AND('Application, cook'!I104,"AAAAAE6tu4M=")</f>
        <v>#VALUE!</v>
      </c>
      <c r="EC13" t="e">
        <f>AND('Application, cook'!J104,"AAAAAE6tu4Q=")</f>
        <v>#VALUE!</v>
      </c>
      <c r="ED13" t="e">
        <f>AND('Application, cook'!K104,"AAAAAE6tu4U=")</f>
        <v>#VALUE!</v>
      </c>
      <c r="EE13" t="e">
        <f>AND('Application, cook'!L104,"AAAAAE6tu4Y=")</f>
        <v>#VALUE!</v>
      </c>
      <c r="EF13" t="e">
        <f>AND('Application, cook'!M104,"AAAAAE6tu4c=")</f>
        <v>#VALUE!</v>
      </c>
      <c r="EG13" t="e">
        <f>AND('Application, cook'!N104,"AAAAAE6tu4g=")</f>
        <v>#VALUE!</v>
      </c>
      <c r="EH13">
        <f>IF('Application, cook'!105:105,"AAAAAE6tu4k=",0)</f>
        <v>0</v>
      </c>
      <c r="EI13" t="e">
        <f>AND('Application, cook'!A105,"AAAAAE6tu4o=")</f>
        <v>#VALUE!</v>
      </c>
      <c r="EJ13" t="e">
        <f>AND('Application, cook'!B105,"AAAAAE6tu4s=")</f>
        <v>#VALUE!</v>
      </c>
      <c r="EK13" t="e">
        <f>AND('Application, cook'!C105,"AAAAAE6tu4w=")</f>
        <v>#VALUE!</v>
      </c>
      <c r="EL13" t="e">
        <f>AND('Application, cook'!D105,"AAAAAE6tu40=")</f>
        <v>#VALUE!</v>
      </c>
      <c r="EM13" t="e">
        <f>AND('Application, cook'!E105,"AAAAAE6tu44=")</f>
        <v>#VALUE!</v>
      </c>
      <c r="EN13" t="e">
        <f>AND('Application, cook'!F105,"AAAAAE6tu48=")</f>
        <v>#VALUE!</v>
      </c>
      <c r="EO13" t="e">
        <f>AND('Application, cook'!G105,"AAAAAE6tu5A=")</f>
        <v>#VALUE!</v>
      </c>
      <c r="EP13" t="e">
        <f>AND('Application, cook'!H105,"AAAAAE6tu5E=")</f>
        <v>#VALUE!</v>
      </c>
      <c r="EQ13" t="e">
        <f>AND('Application, cook'!I105,"AAAAAE6tu5I=")</f>
        <v>#VALUE!</v>
      </c>
      <c r="ER13" t="e">
        <f>AND('Application, cook'!J105,"AAAAAE6tu5M=")</f>
        <v>#VALUE!</v>
      </c>
      <c r="ES13" t="e">
        <f>AND('Application, cook'!K105,"AAAAAE6tu5Q=")</f>
        <v>#VALUE!</v>
      </c>
      <c r="ET13" t="e">
        <f>AND('Application, cook'!L105,"AAAAAE6tu5U=")</f>
        <v>#VALUE!</v>
      </c>
      <c r="EU13" t="e">
        <f>AND('Application, cook'!M105,"AAAAAE6tu5Y=")</f>
        <v>#VALUE!</v>
      </c>
      <c r="EV13" t="e">
        <f>AND('Application, cook'!N105,"AAAAAE6tu5c=")</f>
        <v>#VALUE!</v>
      </c>
      <c r="EW13">
        <f>IF('Application, cook'!106:106,"AAAAAE6tu5g=",0)</f>
        <v>0</v>
      </c>
      <c r="EX13" t="e">
        <f>AND('Application, cook'!A106,"AAAAAE6tu5k=")</f>
        <v>#VALUE!</v>
      </c>
      <c r="EY13" t="e">
        <f>AND('Application, cook'!B106,"AAAAAE6tu5o=")</f>
        <v>#VALUE!</v>
      </c>
      <c r="EZ13" t="e">
        <f>AND('Application, cook'!C106,"AAAAAE6tu5s=")</f>
        <v>#VALUE!</v>
      </c>
      <c r="FA13" t="e">
        <f>AND('Application, cook'!D106,"AAAAAE6tu5w=")</f>
        <v>#VALUE!</v>
      </c>
      <c r="FB13" t="e">
        <f>AND('Application, cook'!E106,"AAAAAE6tu50=")</f>
        <v>#VALUE!</v>
      </c>
      <c r="FC13" t="e">
        <f>AND('Application, cook'!F106,"AAAAAE6tu54=")</f>
        <v>#VALUE!</v>
      </c>
      <c r="FD13" t="e">
        <f>AND('Application, cook'!G106,"AAAAAE6tu58=")</f>
        <v>#VALUE!</v>
      </c>
      <c r="FE13" t="e">
        <f>AND('Application, cook'!H106,"AAAAAE6tu6A=")</f>
        <v>#VALUE!</v>
      </c>
      <c r="FF13" t="e">
        <f>AND('Application, cook'!I106,"AAAAAE6tu6E=")</f>
        <v>#VALUE!</v>
      </c>
      <c r="FG13" t="e">
        <f>AND('Application, cook'!J106,"AAAAAE6tu6I=")</f>
        <v>#VALUE!</v>
      </c>
      <c r="FH13" t="e">
        <f>AND('Application, cook'!K106,"AAAAAE6tu6M=")</f>
        <v>#VALUE!</v>
      </c>
      <c r="FI13" t="e">
        <f>AND('Application, cook'!L106,"AAAAAE6tu6Q=")</f>
        <v>#VALUE!</v>
      </c>
      <c r="FJ13" t="e">
        <f>AND('Application, cook'!M106,"AAAAAE6tu6U=")</f>
        <v>#VALUE!</v>
      </c>
      <c r="FK13" t="e">
        <f>AND('Application, cook'!N106,"AAAAAE6tu6Y=")</f>
        <v>#VALUE!</v>
      </c>
      <c r="FL13">
        <f>IF('Application, cook'!107:107,"AAAAAE6tu6c=",0)</f>
        <v>0</v>
      </c>
      <c r="FM13" t="e">
        <f>AND('Application, cook'!A107,"AAAAAE6tu6g=")</f>
        <v>#VALUE!</v>
      </c>
      <c r="FN13" t="e">
        <f>AND('Application, cook'!B107,"AAAAAE6tu6k=")</f>
        <v>#VALUE!</v>
      </c>
      <c r="FO13" t="e">
        <f>AND('Application, cook'!C107,"AAAAAE6tu6o=")</f>
        <v>#VALUE!</v>
      </c>
      <c r="FP13" t="e">
        <f>AND('Application, cook'!D107,"AAAAAE6tu6s=")</f>
        <v>#VALUE!</v>
      </c>
      <c r="FQ13" t="e">
        <f>AND('Application, cook'!E107,"AAAAAE6tu6w=")</f>
        <v>#VALUE!</v>
      </c>
      <c r="FR13" t="e">
        <f>AND('Application, cook'!F107,"AAAAAE6tu60=")</f>
        <v>#VALUE!</v>
      </c>
      <c r="FS13" t="e">
        <f>AND('Application, cook'!G107,"AAAAAE6tu64=")</f>
        <v>#VALUE!</v>
      </c>
      <c r="FT13" t="e">
        <f>AND('Application, cook'!H107,"AAAAAE6tu68=")</f>
        <v>#VALUE!</v>
      </c>
      <c r="FU13" t="e">
        <f>AND('Application, cook'!I107,"AAAAAE6tu7A=")</f>
        <v>#VALUE!</v>
      </c>
      <c r="FV13" t="e">
        <f>AND('Application, cook'!J107,"AAAAAE6tu7E=")</f>
        <v>#VALUE!</v>
      </c>
      <c r="FW13" t="e">
        <f>AND('Application, cook'!K107,"AAAAAE6tu7I=")</f>
        <v>#VALUE!</v>
      </c>
      <c r="FX13" t="e">
        <f>AND('Application, cook'!L107,"AAAAAE6tu7M=")</f>
        <v>#VALUE!</v>
      </c>
      <c r="FY13" t="e">
        <f>AND('Application, cook'!M107,"AAAAAE6tu7Q=")</f>
        <v>#VALUE!</v>
      </c>
      <c r="FZ13" t="e">
        <f>AND('Application, cook'!N107,"AAAAAE6tu7U=")</f>
        <v>#VALUE!</v>
      </c>
      <c r="GA13">
        <f>IF('Application, cook'!108:108,"AAAAAE6tu7Y=",0)</f>
        <v>0</v>
      </c>
      <c r="GB13" t="e">
        <f>AND('Application, cook'!A108,"AAAAAE6tu7c=")</f>
        <v>#VALUE!</v>
      </c>
      <c r="GC13" t="e">
        <f>AND('Application, cook'!B108,"AAAAAE6tu7g=")</f>
        <v>#VALUE!</v>
      </c>
      <c r="GD13" t="e">
        <f>AND('Application, cook'!C108,"AAAAAE6tu7k=")</f>
        <v>#VALUE!</v>
      </c>
      <c r="GE13" t="e">
        <f>AND('Application, cook'!D108,"AAAAAE6tu7o=")</f>
        <v>#VALUE!</v>
      </c>
      <c r="GF13" t="e">
        <f>AND('Application, cook'!E108,"AAAAAE6tu7s=")</f>
        <v>#VALUE!</v>
      </c>
      <c r="GG13" t="e">
        <f>AND('Application, cook'!F108,"AAAAAE6tu7w=")</f>
        <v>#VALUE!</v>
      </c>
      <c r="GH13" t="e">
        <f>AND('Application, cook'!G108,"AAAAAE6tu70=")</f>
        <v>#VALUE!</v>
      </c>
      <c r="GI13" t="e">
        <f>AND('Application, cook'!H108,"AAAAAE6tu74=")</f>
        <v>#VALUE!</v>
      </c>
      <c r="GJ13" t="e">
        <f>AND('Application, cook'!I108,"AAAAAE6tu78=")</f>
        <v>#VALUE!</v>
      </c>
      <c r="GK13" t="e">
        <f>AND('Application, cook'!J108,"AAAAAE6tu8A=")</f>
        <v>#VALUE!</v>
      </c>
      <c r="GL13" t="e">
        <f>AND('Application, cook'!K108,"AAAAAE6tu8E=")</f>
        <v>#VALUE!</v>
      </c>
      <c r="GM13" t="e">
        <f>AND('Application, cook'!L108,"AAAAAE6tu8I=")</f>
        <v>#VALUE!</v>
      </c>
      <c r="GN13" t="e">
        <f>AND('Application, cook'!M108,"AAAAAE6tu8M=")</f>
        <v>#VALUE!</v>
      </c>
      <c r="GO13" t="e">
        <f>AND('Application, cook'!N108,"AAAAAE6tu8Q=")</f>
        <v>#VALUE!</v>
      </c>
      <c r="GP13">
        <f>IF('Application, cook'!109:109,"AAAAAE6tu8U=",0)</f>
        <v>0</v>
      </c>
      <c r="GQ13" t="e">
        <f>AND('Application, cook'!A109,"AAAAAE6tu8Y=")</f>
        <v>#VALUE!</v>
      </c>
      <c r="GR13">
        <f>IF('Application, cook'!110:110,"AAAAAE6tu8c=",0)</f>
        <v>0</v>
      </c>
      <c r="GS13" t="e">
        <f>AND('Application, cook'!A110,"AAAAAE6tu8g=")</f>
        <v>#VALUE!</v>
      </c>
      <c r="GT13">
        <f>IF('Application, cook'!111:111,"AAAAAE6tu8k=",0)</f>
        <v>0</v>
      </c>
      <c r="GU13" t="e">
        <f>AND('Application, cook'!A111,"AAAAAE6tu8o=")</f>
        <v>#VALUE!</v>
      </c>
      <c r="GV13">
        <f>IF('Application, cook'!112:112,"AAAAAE6tu8s=",0)</f>
        <v>0</v>
      </c>
      <c r="GW13" t="e">
        <f>AND('Application, cook'!A112,"AAAAAE6tu8w=")</f>
        <v>#VALUE!</v>
      </c>
      <c r="GX13">
        <f>IF('Application, cook'!113:113,"AAAAAE6tu80=",0)</f>
        <v>0</v>
      </c>
      <c r="GY13" t="e">
        <f>AND('Application, cook'!A113,"AAAAAE6tu84=")</f>
        <v>#VALUE!</v>
      </c>
      <c r="GZ13">
        <f>IF('Application, cook'!114:114,"AAAAAE6tu88=",0)</f>
        <v>0</v>
      </c>
      <c r="HA13" t="e">
        <f>AND('Application, cook'!A114,"AAAAAE6tu9A=")</f>
        <v>#VALUE!</v>
      </c>
      <c r="HB13">
        <f>IF('Application, cook'!115:115,"AAAAAE6tu9E=",0)</f>
        <v>0</v>
      </c>
      <c r="HC13" t="e">
        <f>AND('Application, cook'!A115,"AAAAAE6tu9I=")</f>
        <v>#VALUE!</v>
      </c>
      <c r="HD13">
        <f>IF('Application, cook'!116:116,"AAAAAE6tu9M=",0)</f>
        <v>0</v>
      </c>
      <c r="HE13" t="e">
        <f>AND('Application, cook'!A116,"AAAAAE6tu9Q=")</f>
        <v>#VALUE!</v>
      </c>
      <c r="HF13">
        <f>IF('Application, cook'!117:117,"AAAAAE6tu9U=",0)</f>
        <v>0</v>
      </c>
      <c r="HG13" t="e">
        <f>AND('Application, cook'!A117,"AAAAAE6tu9Y=")</f>
        <v>#VALUE!</v>
      </c>
      <c r="HH13">
        <f>IF('Application, cook'!118:118,"AAAAAE6tu9c=",0)</f>
        <v>0</v>
      </c>
      <c r="HI13" t="e">
        <f>AND('Application, cook'!A118,"AAAAAE6tu9g=")</f>
        <v>#VALUE!</v>
      </c>
      <c r="HJ13">
        <f>IF('Application, cook'!119:119,"AAAAAE6tu9k=",0)</f>
        <v>0</v>
      </c>
      <c r="HK13" t="e">
        <f>AND('Application, cook'!A119,"AAAAAE6tu9o=")</f>
        <v>#VALUE!</v>
      </c>
      <c r="HL13">
        <f>IF('Application, cook'!120:120,"AAAAAE6tu9s=",0)</f>
        <v>0</v>
      </c>
      <c r="HM13" t="e">
        <f>AND('Application, cook'!A120,"AAAAAE6tu9w=")</f>
        <v>#VALUE!</v>
      </c>
      <c r="HN13">
        <f>IF('Application, cook'!121:121,"AAAAAE6tu90=",0)</f>
        <v>0</v>
      </c>
      <c r="HO13" t="e">
        <f>AND('Application, cook'!A121,"AAAAAE6tu94=")</f>
        <v>#VALUE!</v>
      </c>
      <c r="HP13">
        <f>IF('Application, cook'!122:122,"AAAAAE6tu98=",0)</f>
        <v>0</v>
      </c>
      <c r="HQ13" t="e">
        <f>AND('Application, cook'!A122,"AAAAAE6tu+A=")</f>
        <v>#VALUE!</v>
      </c>
      <c r="HR13" t="e">
        <f>IF('Application, cook'!A:A,"AAAAAE6tu+E=",0)</f>
        <v>#VALUE!</v>
      </c>
      <c r="HS13">
        <f>IF('Application, cook'!B:B,"AAAAAE6tu+I=",0)</f>
        <v>0</v>
      </c>
      <c r="HT13">
        <f>IF('Application, cook'!C:C,"AAAAAE6tu+M=",0)</f>
        <v>0</v>
      </c>
      <c r="HU13">
        <f>IF('Application, cook'!D:D,"AAAAAE6tu+Q=",0)</f>
        <v>0</v>
      </c>
      <c r="HV13">
        <f>IF('Application, cook'!E:E,"AAAAAE6tu+U=",0)</f>
        <v>0</v>
      </c>
      <c r="HW13">
        <f>IF('Application, cook'!F:F,"AAAAAE6tu+Y=",0)</f>
        <v>0</v>
      </c>
      <c r="HX13" t="e">
        <f>IF('Application, cook'!G:G,"AAAAAE6tu+c=",0)</f>
        <v>#VALUE!</v>
      </c>
      <c r="HY13">
        <f>IF('Application, cook'!H:H,"AAAAAE6tu+g=",0)</f>
        <v>0</v>
      </c>
      <c r="HZ13">
        <f>IF('Application, cook'!I:I,"AAAAAE6tu+k=",0)</f>
        <v>0</v>
      </c>
      <c r="IA13">
        <f>IF('Application, cook'!J:J,"AAAAAE6tu+o=",0)</f>
        <v>0</v>
      </c>
      <c r="IB13">
        <f>IF('Application, cook'!K:K,"AAAAAE6tu+s=",0)</f>
        <v>0</v>
      </c>
      <c r="IC13">
        <f>IF('Application, cook'!L:L,"AAAAAE6tu+w=",0)</f>
        <v>0</v>
      </c>
      <c r="ID13">
        <f>IF('Application, cook'!M:M,"AAAAAE6tu+0=",0)</f>
        <v>0</v>
      </c>
      <c r="IE13">
        <f>IF('Application, cook'!N:N,"AAAAAE6tu+4=",0)</f>
        <v>0</v>
      </c>
      <c r="IF13">
        <f>IF('Application, video'!1:1,"AAAAAE6tu+8=",0)</f>
        <v>0</v>
      </c>
      <c r="IG13" t="e">
        <f>AND('Application, video'!A1,"AAAAAE6tu/A=")</f>
        <v>#VALUE!</v>
      </c>
      <c r="IH13" t="e">
        <f>AND('Application, video'!B1,"AAAAAE6tu/E=")</f>
        <v>#VALUE!</v>
      </c>
      <c r="II13" t="e">
        <f>AND('Application, video'!C1,"AAAAAE6tu/I=")</f>
        <v>#VALUE!</v>
      </c>
      <c r="IJ13" t="e">
        <f>AND('Application, video'!D1,"AAAAAE6tu/M=")</f>
        <v>#VALUE!</v>
      </c>
      <c r="IK13" t="e">
        <f>AND('Application, video'!E1,"AAAAAE6tu/Q=")</f>
        <v>#VALUE!</v>
      </c>
      <c r="IL13" t="e">
        <f>AND('Application, video'!F1,"AAAAAE6tu/U=")</f>
        <v>#VALUE!</v>
      </c>
      <c r="IM13" t="e">
        <f>AND('Application, video'!G1,"AAAAAE6tu/Y=")</f>
        <v>#VALUE!</v>
      </c>
      <c r="IN13" t="e">
        <f>AND('Application, video'!H1,"AAAAAE6tu/c=")</f>
        <v>#VALUE!</v>
      </c>
      <c r="IO13" t="e">
        <f>AND('Application, video'!I1,"AAAAAE6tu/g=")</f>
        <v>#VALUE!</v>
      </c>
      <c r="IP13" t="e">
        <f>AND('Application, video'!J1,"AAAAAE6tu/k=")</f>
        <v>#VALUE!</v>
      </c>
      <c r="IQ13" t="e">
        <f>AND('Application, video'!K1,"AAAAAE6tu/o=")</f>
        <v>#VALUE!</v>
      </c>
      <c r="IR13" t="e">
        <f>AND('Application, video'!L1,"AAAAAE6tu/s=")</f>
        <v>#VALUE!</v>
      </c>
      <c r="IS13" t="e">
        <f>AND('Application, video'!M1,"AAAAAE6tu/w=")</f>
        <v>#VALUE!</v>
      </c>
      <c r="IT13" t="e">
        <f>AND('Application, video'!N1,"AAAAAE6tu/0=")</f>
        <v>#VALUE!</v>
      </c>
      <c r="IU13">
        <f>IF('Application, video'!2:2,"AAAAAE6tu/4=",0)</f>
        <v>0</v>
      </c>
      <c r="IV13" t="e">
        <f>AND('Application, video'!A2,"AAAAAE6tu/8=")</f>
        <v>#VALUE!</v>
      </c>
    </row>
    <row r="14" spans="1:256" ht="12.75">
      <c r="A14" t="e">
        <f>AND('Application, video'!B2,"AAAAAF/ztwA=")</f>
        <v>#VALUE!</v>
      </c>
      <c r="B14" t="e">
        <f>AND('Application, video'!C2,"AAAAAF/ztwE=")</f>
        <v>#VALUE!</v>
      </c>
      <c r="C14" t="e">
        <f>AND('Application, video'!D2,"AAAAAF/ztwI=")</f>
        <v>#VALUE!</v>
      </c>
      <c r="D14" t="e">
        <f>AND('Application, video'!E2,"AAAAAF/ztwM=")</f>
        <v>#VALUE!</v>
      </c>
      <c r="E14" t="e">
        <f>AND('Application, video'!F2,"AAAAAF/ztwQ=")</f>
        <v>#VALUE!</v>
      </c>
      <c r="F14" t="e">
        <f>AND('Application, video'!G2,"AAAAAF/ztwU=")</f>
        <v>#VALUE!</v>
      </c>
      <c r="G14" t="e">
        <f>AND('Application, video'!H2,"AAAAAF/ztwY=")</f>
        <v>#VALUE!</v>
      </c>
      <c r="H14" t="e">
        <f>AND('Application, video'!I2,"AAAAAF/ztwc=")</f>
        <v>#VALUE!</v>
      </c>
      <c r="I14" t="e">
        <f>AND('Application, video'!J2,"AAAAAF/ztwg=")</f>
        <v>#VALUE!</v>
      </c>
      <c r="J14" t="e">
        <f>AND('Application, video'!K2,"AAAAAF/ztwk=")</f>
        <v>#VALUE!</v>
      </c>
      <c r="K14" t="e">
        <f>AND('Application, video'!L2,"AAAAAF/ztwo=")</f>
        <v>#VALUE!</v>
      </c>
      <c r="L14" t="e">
        <f>AND('Application, video'!M2,"AAAAAF/ztws=")</f>
        <v>#VALUE!</v>
      </c>
      <c r="M14" t="e">
        <f>AND('Application, video'!N2,"AAAAAF/ztww=")</f>
        <v>#VALUE!</v>
      </c>
      <c r="N14">
        <f>IF('Application, video'!3:3,"AAAAAF/ztw0=",0)</f>
        <v>0</v>
      </c>
      <c r="O14" t="e">
        <f>AND('Application, video'!A3,"AAAAAF/ztw4=")</f>
        <v>#VALUE!</v>
      </c>
      <c r="P14" t="e">
        <f>AND('Application, video'!B3,"AAAAAF/ztw8=")</f>
        <v>#VALUE!</v>
      </c>
      <c r="Q14" t="e">
        <f>AND('Application, video'!C3,"AAAAAF/ztxA=")</f>
        <v>#VALUE!</v>
      </c>
      <c r="R14" t="e">
        <f>AND('Application, video'!D3,"AAAAAF/ztxE=")</f>
        <v>#VALUE!</v>
      </c>
      <c r="S14" t="e">
        <f>AND('Application, video'!E3,"AAAAAF/ztxI=")</f>
        <v>#VALUE!</v>
      </c>
      <c r="T14" t="e">
        <f>AND('Application, video'!F3,"AAAAAF/ztxM=")</f>
        <v>#VALUE!</v>
      </c>
      <c r="U14" t="e">
        <f>AND('Application, video'!G3,"AAAAAF/ztxQ=")</f>
        <v>#VALUE!</v>
      </c>
      <c r="V14" t="e">
        <f>AND('Application, video'!H3,"AAAAAF/ztxU=")</f>
        <v>#VALUE!</v>
      </c>
      <c r="W14" t="e">
        <f>AND('Application, video'!I3,"AAAAAF/ztxY=")</f>
        <v>#VALUE!</v>
      </c>
      <c r="X14" t="e">
        <f>AND('Application, video'!J3,"AAAAAF/ztxc=")</f>
        <v>#VALUE!</v>
      </c>
      <c r="Y14" t="e">
        <f>AND('Application, video'!K3,"AAAAAF/ztxg=")</f>
        <v>#VALUE!</v>
      </c>
      <c r="Z14" t="e">
        <f>AND('Application, video'!L3,"AAAAAF/ztxk=")</f>
        <v>#VALUE!</v>
      </c>
      <c r="AA14" t="e">
        <f>AND('Application, video'!M3,"AAAAAF/ztxo=")</f>
        <v>#VALUE!</v>
      </c>
      <c r="AB14" t="e">
        <f>AND('Application, video'!N3,"AAAAAF/ztxs=")</f>
        <v>#VALUE!</v>
      </c>
      <c r="AC14">
        <f>IF('Application, video'!4:4,"AAAAAF/ztxw=",0)</f>
        <v>0</v>
      </c>
      <c r="AD14" t="e">
        <f>AND('Application, video'!A4,"AAAAAF/ztx0=")</f>
        <v>#VALUE!</v>
      </c>
      <c r="AE14" t="e">
        <f>AND('Application, video'!B4,"AAAAAF/ztx4=")</f>
        <v>#VALUE!</v>
      </c>
      <c r="AF14" t="e">
        <f>AND('Application, video'!C4,"AAAAAF/ztx8=")</f>
        <v>#VALUE!</v>
      </c>
      <c r="AG14" t="e">
        <f>AND('Application, video'!D4,"AAAAAF/ztyA=")</f>
        <v>#VALUE!</v>
      </c>
      <c r="AH14" t="e">
        <f>AND('Application, video'!E4,"AAAAAF/ztyE=")</f>
        <v>#VALUE!</v>
      </c>
      <c r="AI14" t="e">
        <f>AND('Application, video'!F4,"AAAAAF/ztyI=")</f>
        <v>#VALUE!</v>
      </c>
      <c r="AJ14" t="e">
        <f>AND('Application, video'!G4,"AAAAAF/ztyM=")</f>
        <v>#VALUE!</v>
      </c>
      <c r="AK14" t="e">
        <f>AND('Application, video'!H4,"AAAAAF/ztyQ=")</f>
        <v>#VALUE!</v>
      </c>
      <c r="AL14" t="e">
        <f>AND('Application, video'!I4,"AAAAAF/ztyU=")</f>
        <v>#VALUE!</v>
      </c>
      <c r="AM14" t="e">
        <f>AND('Application, video'!J4,"AAAAAF/ztyY=")</f>
        <v>#VALUE!</v>
      </c>
      <c r="AN14" t="e">
        <f>AND('Application, video'!K4,"AAAAAF/ztyc=")</f>
        <v>#VALUE!</v>
      </c>
      <c r="AO14" t="e">
        <f>AND('Application, video'!L4,"AAAAAF/ztyg=")</f>
        <v>#VALUE!</v>
      </c>
      <c r="AP14" t="e">
        <f>AND('Application, video'!M4,"AAAAAF/ztyk=")</f>
        <v>#VALUE!</v>
      </c>
      <c r="AQ14" t="e">
        <f>AND('Application, video'!N4,"AAAAAF/ztyo=")</f>
        <v>#VALUE!</v>
      </c>
      <c r="AR14">
        <f>IF('Application, video'!5:5,"AAAAAF/ztys=",0)</f>
        <v>0</v>
      </c>
      <c r="AS14" t="e">
        <f>AND('Application, video'!A5,"AAAAAF/ztyw=")</f>
        <v>#VALUE!</v>
      </c>
      <c r="AT14" t="e">
        <f>AND('Application, video'!B5,"AAAAAF/zty0=")</f>
        <v>#VALUE!</v>
      </c>
      <c r="AU14" t="e">
        <f>AND('Application, video'!C5,"AAAAAF/zty4=")</f>
        <v>#VALUE!</v>
      </c>
      <c r="AV14" t="e">
        <f>AND('Application, video'!D5,"AAAAAF/zty8=")</f>
        <v>#VALUE!</v>
      </c>
      <c r="AW14" t="e">
        <f>AND('Application, video'!E5,"AAAAAF/ztzA=")</f>
        <v>#VALUE!</v>
      </c>
      <c r="AX14" t="e">
        <f>AND('Application, video'!F5,"AAAAAF/ztzE=")</f>
        <v>#VALUE!</v>
      </c>
      <c r="AY14" t="e">
        <f>AND('Application, video'!G5,"AAAAAF/ztzI=")</f>
        <v>#VALUE!</v>
      </c>
      <c r="AZ14" t="e">
        <f>AND('Application, video'!H5,"AAAAAF/ztzM=")</f>
        <v>#VALUE!</v>
      </c>
      <c r="BA14" t="e">
        <f>AND('Application, video'!I5,"AAAAAF/ztzQ=")</f>
        <v>#VALUE!</v>
      </c>
      <c r="BB14" t="e">
        <f>AND('Application, video'!J5,"AAAAAF/ztzU=")</f>
        <v>#VALUE!</v>
      </c>
      <c r="BC14" t="e">
        <f>AND('Application, video'!K5,"AAAAAF/ztzY=")</f>
        <v>#VALUE!</v>
      </c>
      <c r="BD14" t="e">
        <f>AND('Application, video'!L5,"AAAAAF/ztzc=")</f>
        <v>#VALUE!</v>
      </c>
      <c r="BE14" t="e">
        <f>AND('Application, video'!M5,"AAAAAF/ztzg=")</f>
        <v>#VALUE!</v>
      </c>
      <c r="BF14" t="e">
        <f>AND('Application, video'!N5,"AAAAAF/ztzk=")</f>
        <v>#VALUE!</v>
      </c>
      <c r="BG14">
        <f>IF('Application, video'!6:6,"AAAAAF/ztzo=",0)</f>
        <v>0</v>
      </c>
      <c r="BH14" t="e">
        <f>AND('Application, video'!A6,"AAAAAF/ztzs=")</f>
        <v>#VALUE!</v>
      </c>
      <c r="BI14" t="e">
        <f>AND('Application, video'!B6,"AAAAAF/ztzw=")</f>
        <v>#VALUE!</v>
      </c>
      <c r="BJ14" t="e">
        <f>AND('Application, video'!C6,"AAAAAF/ztz0=")</f>
        <v>#VALUE!</v>
      </c>
      <c r="BK14" t="e">
        <f>AND('Application, video'!D6,"AAAAAF/ztz4=")</f>
        <v>#VALUE!</v>
      </c>
      <c r="BL14" t="e">
        <f>AND('Application, video'!E6,"AAAAAF/ztz8=")</f>
        <v>#VALUE!</v>
      </c>
      <c r="BM14" t="e">
        <f>AND('Application, video'!F6,"AAAAAF/zt0A=")</f>
        <v>#VALUE!</v>
      </c>
      <c r="BN14" t="e">
        <f>AND('Application, video'!G6,"AAAAAF/zt0E=")</f>
        <v>#VALUE!</v>
      </c>
      <c r="BO14" t="e">
        <f>AND('Application, video'!H6,"AAAAAF/zt0I=")</f>
        <v>#VALUE!</v>
      </c>
      <c r="BP14" t="e">
        <f>AND('Application, video'!I6,"AAAAAF/zt0M=")</f>
        <v>#VALUE!</v>
      </c>
      <c r="BQ14" t="e">
        <f>AND('Application, video'!J6,"AAAAAF/zt0Q=")</f>
        <v>#VALUE!</v>
      </c>
      <c r="BR14" t="e">
        <f>AND('Application, video'!K6,"AAAAAF/zt0U=")</f>
        <v>#VALUE!</v>
      </c>
      <c r="BS14" t="e">
        <f>AND('Application, video'!L6,"AAAAAF/zt0Y=")</f>
        <v>#VALUE!</v>
      </c>
      <c r="BT14" t="e">
        <f>AND('Application, video'!M6,"AAAAAF/zt0c=")</f>
        <v>#VALUE!</v>
      </c>
      <c r="BU14" t="e">
        <f>AND('Application, video'!N6,"AAAAAF/zt0g=")</f>
        <v>#VALUE!</v>
      </c>
      <c r="BV14">
        <f>IF('Application, video'!7:7,"AAAAAF/zt0k=",0)</f>
        <v>0</v>
      </c>
      <c r="BW14" t="e">
        <f>AND('Application, video'!A7,"AAAAAF/zt0o=")</f>
        <v>#VALUE!</v>
      </c>
      <c r="BX14" t="e">
        <f>AND('Application, video'!B7,"AAAAAF/zt0s=")</f>
        <v>#VALUE!</v>
      </c>
      <c r="BY14" t="e">
        <f>AND('Application, video'!C7,"AAAAAF/zt0w=")</f>
        <v>#VALUE!</v>
      </c>
      <c r="BZ14" t="e">
        <f>AND('Application, video'!D7,"AAAAAF/zt00=")</f>
        <v>#VALUE!</v>
      </c>
      <c r="CA14" t="e">
        <f>AND('Application, video'!E7,"AAAAAF/zt04=")</f>
        <v>#VALUE!</v>
      </c>
      <c r="CB14" t="e">
        <f>AND('Application, video'!F7,"AAAAAF/zt08=")</f>
        <v>#VALUE!</v>
      </c>
      <c r="CC14" t="e">
        <f>AND('Application, video'!G7,"AAAAAF/zt1A=")</f>
        <v>#VALUE!</v>
      </c>
      <c r="CD14" t="e">
        <f>AND('Application, video'!H7,"AAAAAF/zt1E=")</f>
        <v>#VALUE!</v>
      </c>
      <c r="CE14" t="e">
        <f>AND('Application, video'!I7,"AAAAAF/zt1I=")</f>
        <v>#VALUE!</v>
      </c>
      <c r="CF14" t="e">
        <f>AND('Application, video'!J7,"AAAAAF/zt1M=")</f>
        <v>#VALUE!</v>
      </c>
      <c r="CG14" t="e">
        <f>AND('Application, video'!K7,"AAAAAF/zt1Q=")</f>
        <v>#VALUE!</v>
      </c>
      <c r="CH14" t="e">
        <f>AND('Application, video'!L7,"AAAAAF/zt1U=")</f>
        <v>#VALUE!</v>
      </c>
      <c r="CI14" t="e">
        <f>AND('Application, video'!M7,"AAAAAF/zt1Y=")</f>
        <v>#VALUE!</v>
      </c>
      <c r="CJ14" t="e">
        <f>AND('Application, video'!N7,"AAAAAF/zt1c=")</f>
        <v>#VALUE!</v>
      </c>
      <c r="CK14">
        <f>IF('Application, video'!8:8,"AAAAAF/zt1g=",0)</f>
        <v>0</v>
      </c>
      <c r="CL14" t="e">
        <f>AND('Application, video'!A8,"AAAAAF/zt1k=")</f>
        <v>#VALUE!</v>
      </c>
      <c r="CM14" t="e">
        <f>AND('Application, video'!B8,"AAAAAF/zt1o=")</f>
        <v>#VALUE!</v>
      </c>
      <c r="CN14" t="e">
        <f>AND('Application, video'!C8,"AAAAAF/zt1s=")</f>
        <v>#VALUE!</v>
      </c>
      <c r="CO14" t="e">
        <f>AND('Application, video'!D8,"AAAAAF/zt1w=")</f>
        <v>#VALUE!</v>
      </c>
      <c r="CP14" t="e">
        <f>AND('Application, video'!E8,"AAAAAF/zt10=")</f>
        <v>#VALUE!</v>
      </c>
      <c r="CQ14" t="e">
        <f>AND('Application, video'!F8,"AAAAAF/zt14=")</f>
        <v>#VALUE!</v>
      </c>
      <c r="CR14" t="e">
        <f>AND('Application, video'!G8,"AAAAAF/zt18=")</f>
        <v>#VALUE!</v>
      </c>
      <c r="CS14" t="e">
        <f>AND('Application, video'!H8,"AAAAAF/zt2A=")</f>
        <v>#VALUE!</v>
      </c>
      <c r="CT14" t="e">
        <f>AND('Application, video'!I8,"AAAAAF/zt2E=")</f>
        <v>#VALUE!</v>
      </c>
      <c r="CU14" t="e">
        <f>AND('Application, video'!J8,"AAAAAF/zt2I=")</f>
        <v>#VALUE!</v>
      </c>
      <c r="CV14" t="e">
        <f>AND('Application, video'!K8,"AAAAAF/zt2M=")</f>
        <v>#VALUE!</v>
      </c>
      <c r="CW14" t="e">
        <f>AND('Application, video'!L8,"AAAAAF/zt2Q=")</f>
        <v>#VALUE!</v>
      </c>
      <c r="CX14" t="e">
        <f>AND('Application, video'!M8,"AAAAAF/zt2U=")</f>
        <v>#VALUE!</v>
      </c>
      <c r="CY14" t="e">
        <f>AND('Application, video'!N8,"AAAAAF/zt2Y=")</f>
        <v>#VALUE!</v>
      </c>
      <c r="CZ14">
        <f>IF('Application, video'!9:9,"AAAAAF/zt2c=",0)</f>
        <v>0</v>
      </c>
      <c r="DA14" t="e">
        <f>AND('Application, video'!A9,"AAAAAF/zt2g=")</f>
        <v>#VALUE!</v>
      </c>
      <c r="DB14" t="e">
        <f>AND('Application, video'!B9,"AAAAAF/zt2k=")</f>
        <v>#VALUE!</v>
      </c>
      <c r="DC14" t="e">
        <f>AND('Application, video'!C9,"AAAAAF/zt2o=")</f>
        <v>#VALUE!</v>
      </c>
      <c r="DD14" t="e">
        <f>AND('Application, video'!D9,"AAAAAF/zt2s=")</f>
        <v>#VALUE!</v>
      </c>
      <c r="DE14" t="e">
        <f>AND('Application, video'!E9,"AAAAAF/zt2w=")</f>
        <v>#VALUE!</v>
      </c>
      <c r="DF14" t="e">
        <f>AND('Application, video'!F9,"AAAAAF/zt20=")</f>
        <v>#VALUE!</v>
      </c>
      <c r="DG14" t="e">
        <f>AND('Application, video'!G9,"AAAAAF/zt24=")</f>
        <v>#VALUE!</v>
      </c>
      <c r="DH14" t="e">
        <f>AND('Application, video'!H9,"AAAAAF/zt28=")</f>
        <v>#VALUE!</v>
      </c>
      <c r="DI14" t="e">
        <f>AND('Application, video'!I9,"AAAAAF/zt3A=")</f>
        <v>#VALUE!</v>
      </c>
      <c r="DJ14" t="e">
        <f>AND('Application, video'!J9,"AAAAAF/zt3E=")</f>
        <v>#VALUE!</v>
      </c>
      <c r="DK14" t="e">
        <f>AND('Application, video'!K9,"AAAAAF/zt3I=")</f>
        <v>#VALUE!</v>
      </c>
      <c r="DL14" t="e">
        <f>AND('Application, video'!L9,"AAAAAF/zt3M=")</f>
        <v>#VALUE!</v>
      </c>
      <c r="DM14" t="e">
        <f>AND('Application, video'!M9,"AAAAAF/zt3Q=")</f>
        <v>#VALUE!</v>
      </c>
      <c r="DN14" t="e">
        <f>AND('Application, video'!N9,"AAAAAF/zt3U=")</f>
        <v>#VALUE!</v>
      </c>
      <c r="DO14">
        <f>IF('Application, video'!10:10,"AAAAAF/zt3Y=",0)</f>
        <v>0</v>
      </c>
      <c r="DP14" t="e">
        <f>AND('Application, video'!A10,"AAAAAF/zt3c=")</f>
        <v>#VALUE!</v>
      </c>
      <c r="DQ14" t="e">
        <f>AND('Application, video'!B10,"AAAAAF/zt3g=")</f>
        <v>#VALUE!</v>
      </c>
      <c r="DR14" t="e">
        <f>AND('Application, video'!C10,"AAAAAF/zt3k=")</f>
        <v>#VALUE!</v>
      </c>
      <c r="DS14" t="e">
        <f>AND('Application, video'!D10,"AAAAAF/zt3o=")</f>
        <v>#VALUE!</v>
      </c>
      <c r="DT14" t="e">
        <f>AND('Application, video'!E10,"AAAAAF/zt3s=")</f>
        <v>#VALUE!</v>
      </c>
      <c r="DU14" t="e">
        <f>AND('Application, video'!F10,"AAAAAF/zt3w=")</f>
        <v>#VALUE!</v>
      </c>
      <c r="DV14" t="e">
        <f>AND('Application, video'!G10,"AAAAAF/zt30=")</f>
        <v>#VALUE!</v>
      </c>
      <c r="DW14" t="e">
        <f>AND('Application, video'!H10,"AAAAAF/zt34=")</f>
        <v>#VALUE!</v>
      </c>
      <c r="DX14" t="e">
        <f>AND('Application, video'!I10,"AAAAAF/zt38=")</f>
        <v>#VALUE!</v>
      </c>
      <c r="DY14" t="e">
        <f>AND('Application, video'!J10,"AAAAAF/zt4A=")</f>
        <v>#VALUE!</v>
      </c>
      <c r="DZ14" t="e">
        <f>AND('Application, video'!K10,"AAAAAF/zt4E=")</f>
        <v>#VALUE!</v>
      </c>
      <c r="EA14" t="e">
        <f>AND('Application, video'!L10,"AAAAAF/zt4I=")</f>
        <v>#VALUE!</v>
      </c>
      <c r="EB14" t="e">
        <f>AND('Application, video'!M10,"AAAAAF/zt4M=")</f>
        <v>#VALUE!</v>
      </c>
      <c r="EC14" t="e">
        <f>AND('Application, video'!N10,"AAAAAF/zt4Q=")</f>
        <v>#VALUE!</v>
      </c>
      <c r="ED14">
        <f>IF('Application, video'!11:11,"AAAAAF/zt4U=",0)</f>
        <v>0</v>
      </c>
      <c r="EE14" t="e">
        <f>AND('Application, video'!A11,"AAAAAF/zt4Y=")</f>
        <v>#VALUE!</v>
      </c>
      <c r="EF14" t="e">
        <f>AND('Application, video'!B11,"AAAAAF/zt4c=")</f>
        <v>#VALUE!</v>
      </c>
      <c r="EG14" t="e">
        <f>AND('Application, video'!C11,"AAAAAF/zt4g=")</f>
        <v>#VALUE!</v>
      </c>
      <c r="EH14" t="e">
        <f>AND('Application, video'!D11,"AAAAAF/zt4k=")</f>
        <v>#VALUE!</v>
      </c>
      <c r="EI14" t="e">
        <f>AND('Application, video'!E11,"AAAAAF/zt4o=")</f>
        <v>#VALUE!</v>
      </c>
      <c r="EJ14" t="e">
        <f>AND('Application, video'!F11,"AAAAAF/zt4s=")</f>
        <v>#VALUE!</v>
      </c>
      <c r="EK14" t="e">
        <f>AND('Application, video'!G11,"AAAAAF/zt4w=")</f>
        <v>#VALUE!</v>
      </c>
      <c r="EL14" t="e">
        <f>AND('Application, video'!H11,"AAAAAF/zt40=")</f>
        <v>#VALUE!</v>
      </c>
      <c r="EM14" t="e">
        <f>AND('Application, video'!I11,"AAAAAF/zt44=")</f>
        <v>#VALUE!</v>
      </c>
      <c r="EN14" t="e">
        <f>AND('Application, video'!J11,"AAAAAF/zt48=")</f>
        <v>#VALUE!</v>
      </c>
      <c r="EO14" t="e">
        <f>AND('Application, video'!K11,"AAAAAF/zt5A=")</f>
        <v>#VALUE!</v>
      </c>
      <c r="EP14" t="e">
        <f>AND('Application, video'!L11,"AAAAAF/zt5E=")</f>
        <v>#VALUE!</v>
      </c>
      <c r="EQ14" t="e">
        <f>AND('Application, video'!M11,"AAAAAF/zt5I=")</f>
        <v>#VALUE!</v>
      </c>
      <c r="ER14" t="e">
        <f>AND('Application, video'!N11,"AAAAAF/zt5M=")</f>
        <v>#VALUE!</v>
      </c>
      <c r="ES14">
        <f>IF('Application, video'!12:12,"AAAAAF/zt5Q=",0)</f>
        <v>0</v>
      </c>
      <c r="ET14" t="e">
        <f>AND('Application, video'!A12,"AAAAAF/zt5U=")</f>
        <v>#VALUE!</v>
      </c>
      <c r="EU14" t="e">
        <f>AND('Application, video'!B12,"AAAAAF/zt5Y=")</f>
        <v>#VALUE!</v>
      </c>
      <c r="EV14" t="e">
        <f>AND('Application, video'!C12,"AAAAAF/zt5c=")</f>
        <v>#VALUE!</v>
      </c>
      <c r="EW14" t="e">
        <f>AND('Application, video'!D12,"AAAAAF/zt5g=")</f>
        <v>#VALUE!</v>
      </c>
      <c r="EX14" t="e">
        <f>AND('Application, video'!E12,"AAAAAF/zt5k=")</f>
        <v>#VALUE!</v>
      </c>
      <c r="EY14" t="e">
        <f>AND('Application, video'!F12,"AAAAAF/zt5o=")</f>
        <v>#VALUE!</v>
      </c>
      <c r="EZ14" t="e">
        <f>AND('Application, video'!G12,"AAAAAF/zt5s=")</f>
        <v>#VALUE!</v>
      </c>
      <c r="FA14" t="e">
        <f>AND('Application, video'!H12,"AAAAAF/zt5w=")</f>
        <v>#VALUE!</v>
      </c>
      <c r="FB14" t="e">
        <f>AND('Application, video'!I12,"AAAAAF/zt50=")</f>
        <v>#VALUE!</v>
      </c>
      <c r="FC14" t="e">
        <f>AND('Application, video'!J12,"AAAAAF/zt54=")</f>
        <v>#VALUE!</v>
      </c>
      <c r="FD14" t="e">
        <f>AND('Application, video'!K12,"AAAAAF/zt58=")</f>
        <v>#VALUE!</v>
      </c>
      <c r="FE14" t="e">
        <f>AND('Application, video'!L12,"AAAAAF/zt6A=")</f>
        <v>#VALUE!</v>
      </c>
      <c r="FF14" t="e">
        <f>AND('Application, video'!M12,"AAAAAF/zt6E=")</f>
        <v>#VALUE!</v>
      </c>
      <c r="FG14" t="e">
        <f>AND('Application, video'!N12,"AAAAAF/zt6I=")</f>
        <v>#VALUE!</v>
      </c>
      <c r="FH14">
        <f>IF('Application, video'!13:13,"AAAAAF/zt6M=",0)</f>
        <v>0</v>
      </c>
      <c r="FI14" t="e">
        <f>AND('Application, video'!A13,"AAAAAF/zt6Q=")</f>
        <v>#VALUE!</v>
      </c>
      <c r="FJ14" t="e">
        <f>AND('Application, video'!B13,"AAAAAF/zt6U=")</f>
        <v>#VALUE!</v>
      </c>
      <c r="FK14" t="e">
        <f>AND('Application, video'!C13,"AAAAAF/zt6Y=")</f>
        <v>#VALUE!</v>
      </c>
      <c r="FL14" t="e">
        <f>AND('Application, video'!D13,"AAAAAF/zt6c=")</f>
        <v>#VALUE!</v>
      </c>
      <c r="FM14" t="e">
        <f>AND('Application, video'!E13,"AAAAAF/zt6g=")</f>
        <v>#VALUE!</v>
      </c>
      <c r="FN14" t="e">
        <f>AND('Application, video'!F13,"AAAAAF/zt6k=")</f>
        <v>#VALUE!</v>
      </c>
      <c r="FO14" t="e">
        <f>AND('Application, video'!G13,"AAAAAF/zt6o=")</f>
        <v>#VALUE!</v>
      </c>
      <c r="FP14" t="e">
        <f>AND('Application, video'!H13,"AAAAAF/zt6s=")</f>
        <v>#VALUE!</v>
      </c>
      <c r="FQ14" t="e">
        <f>AND('Application, video'!I13,"AAAAAF/zt6w=")</f>
        <v>#VALUE!</v>
      </c>
      <c r="FR14" t="e">
        <f>AND('Application, video'!J13,"AAAAAF/zt60=")</f>
        <v>#VALUE!</v>
      </c>
      <c r="FS14" t="e">
        <f>AND('Application, video'!K13,"AAAAAF/zt64=")</f>
        <v>#VALUE!</v>
      </c>
      <c r="FT14" t="e">
        <f>AND('Application, video'!L13,"AAAAAF/zt68=")</f>
        <v>#VALUE!</v>
      </c>
      <c r="FU14" t="e">
        <f>AND('Application, video'!M13,"AAAAAF/zt7A=")</f>
        <v>#VALUE!</v>
      </c>
      <c r="FV14" t="e">
        <f>AND('Application, video'!N13,"AAAAAF/zt7E=")</f>
        <v>#VALUE!</v>
      </c>
      <c r="FW14">
        <f>IF('Application, video'!14:14,"AAAAAF/zt7I=",0)</f>
        <v>0</v>
      </c>
      <c r="FX14" t="e">
        <f>AND('Application, video'!A14,"AAAAAF/zt7M=")</f>
        <v>#VALUE!</v>
      </c>
      <c r="FY14" t="e">
        <f>AND('Application, video'!B14,"AAAAAF/zt7Q=")</f>
        <v>#VALUE!</v>
      </c>
      <c r="FZ14" t="e">
        <f>AND('Application, video'!C14,"AAAAAF/zt7U=")</f>
        <v>#VALUE!</v>
      </c>
      <c r="GA14" t="e">
        <f>AND('Application, video'!D14,"AAAAAF/zt7Y=")</f>
        <v>#VALUE!</v>
      </c>
      <c r="GB14" t="e">
        <f>AND('Application, video'!E14,"AAAAAF/zt7c=")</f>
        <v>#VALUE!</v>
      </c>
      <c r="GC14" t="e">
        <f>AND('Application, video'!F14,"AAAAAF/zt7g=")</f>
        <v>#VALUE!</v>
      </c>
      <c r="GD14" t="e">
        <f>AND('Application, video'!G14,"AAAAAF/zt7k=")</f>
        <v>#VALUE!</v>
      </c>
      <c r="GE14" t="e">
        <f>AND('Application, video'!H14,"AAAAAF/zt7o=")</f>
        <v>#VALUE!</v>
      </c>
      <c r="GF14" t="e">
        <f>AND('Application, video'!I14,"AAAAAF/zt7s=")</f>
        <v>#VALUE!</v>
      </c>
      <c r="GG14" t="e">
        <f>AND('Application, video'!J14,"AAAAAF/zt7w=")</f>
        <v>#VALUE!</v>
      </c>
      <c r="GH14" t="e">
        <f>AND('Application, video'!K14,"AAAAAF/zt70=")</f>
        <v>#VALUE!</v>
      </c>
      <c r="GI14" t="e">
        <f>AND('Application, video'!L14,"AAAAAF/zt74=")</f>
        <v>#VALUE!</v>
      </c>
      <c r="GJ14" t="e">
        <f>AND('Application, video'!M14,"AAAAAF/zt78=")</f>
        <v>#VALUE!</v>
      </c>
      <c r="GK14" t="e">
        <f>AND('Application, video'!N14,"AAAAAF/zt8A=")</f>
        <v>#VALUE!</v>
      </c>
      <c r="GL14">
        <f>IF('Application, video'!15:15,"AAAAAF/zt8E=",0)</f>
        <v>0</v>
      </c>
      <c r="GM14" t="e">
        <f>AND('Application, video'!A15,"AAAAAF/zt8I=")</f>
        <v>#VALUE!</v>
      </c>
      <c r="GN14" t="e">
        <f>AND('Application, video'!B15,"AAAAAF/zt8M=")</f>
        <v>#VALUE!</v>
      </c>
      <c r="GO14" t="e">
        <f>AND('Application, video'!C15,"AAAAAF/zt8Q=")</f>
        <v>#VALUE!</v>
      </c>
      <c r="GP14" t="e">
        <f>AND('Application, video'!D15,"AAAAAF/zt8U=")</f>
        <v>#VALUE!</v>
      </c>
      <c r="GQ14" t="e">
        <f>AND('Application, video'!E15,"AAAAAF/zt8Y=")</f>
        <v>#VALUE!</v>
      </c>
      <c r="GR14" t="e">
        <f>AND('Application, video'!F15,"AAAAAF/zt8c=")</f>
        <v>#VALUE!</v>
      </c>
      <c r="GS14" t="e">
        <f>AND('Application, video'!G15,"AAAAAF/zt8g=")</f>
        <v>#VALUE!</v>
      </c>
      <c r="GT14" t="e">
        <f>AND('Application, video'!H15,"AAAAAF/zt8k=")</f>
        <v>#VALUE!</v>
      </c>
      <c r="GU14" t="e">
        <f>AND('Application, video'!I15,"AAAAAF/zt8o=")</f>
        <v>#VALUE!</v>
      </c>
      <c r="GV14" t="e">
        <f>AND('Application, video'!J15,"AAAAAF/zt8s=")</f>
        <v>#VALUE!</v>
      </c>
      <c r="GW14" t="e">
        <f>AND('Application, video'!K15,"AAAAAF/zt8w=")</f>
        <v>#VALUE!</v>
      </c>
      <c r="GX14" t="e">
        <f>AND('Application, video'!L15,"AAAAAF/zt80=")</f>
        <v>#VALUE!</v>
      </c>
      <c r="GY14" t="e">
        <f>AND('Application, video'!M15,"AAAAAF/zt84=")</f>
        <v>#VALUE!</v>
      </c>
      <c r="GZ14" t="e">
        <f>AND('Application, video'!N15,"AAAAAF/zt88=")</f>
        <v>#VALUE!</v>
      </c>
      <c r="HA14">
        <f>IF('Application, video'!16:16,"AAAAAF/zt9A=",0)</f>
        <v>0</v>
      </c>
      <c r="HB14" t="e">
        <f>AND('Application, video'!A16,"AAAAAF/zt9E=")</f>
        <v>#VALUE!</v>
      </c>
      <c r="HC14" t="e">
        <f>AND('Application, video'!B16,"AAAAAF/zt9I=")</f>
        <v>#VALUE!</v>
      </c>
      <c r="HD14" t="e">
        <f>AND('Application, video'!C16,"AAAAAF/zt9M=")</f>
        <v>#VALUE!</v>
      </c>
      <c r="HE14" t="e">
        <f>AND('Application, video'!D16,"AAAAAF/zt9Q=")</f>
        <v>#VALUE!</v>
      </c>
      <c r="HF14" t="e">
        <f>AND('Application, video'!E16,"AAAAAF/zt9U=")</f>
        <v>#VALUE!</v>
      </c>
      <c r="HG14" t="e">
        <f>AND('Application, video'!F16,"AAAAAF/zt9Y=")</f>
        <v>#VALUE!</v>
      </c>
      <c r="HH14" t="e">
        <f>AND('Application, video'!G16,"AAAAAF/zt9c=")</f>
        <v>#VALUE!</v>
      </c>
      <c r="HI14" t="e">
        <f>AND('Application, video'!H16,"AAAAAF/zt9g=")</f>
        <v>#VALUE!</v>
      </c>
      <c r="HJ14" t="e">
        <f>AND('Application, video'!I16,"AAAAAF/zt9k=")</f>
        <v>#VALUE!</v>
      </c>
      <c r="HK14" t="e">
        <f>AND('Application, video'!J16,"AAAAAF/zt9o=")</f>
        <v>#VALUE!</v>
      </c>
      <c r="HL14" t="e">
        <f>AND('Application, video'!K16,"AAAAAF/zt9s=")</f>
        <v>#VALUE!</v>
      </c>
      <c r="HM14" t="e">
        <f>AND('Application, video'!L16,"AAAAAF/zt9w=")</f>
        <v>#VALUE!</v>
      </c>
      <c r="HN14" t="e">
        <f>AND('Application, video'!M16,"AAAAAF/zt90=")</f>
        <v>#VALUE!</v>
      </c>
      <c r="HO14" t="e">
        <f>AND('Application, video'!N16,"AAAAAF/zt94=")</f>
        <v>#VALUE!</v>
      </c>
      <c r="HP14">
        <f>IF('Application, video'!17:17,"AAAAAF/zt98=",0)</f>
        <v>0</v>
      </c>
      <c r="HQ14" t="e">
        <f>AND('Application, video'!A17,"AAAAAF/zt+A=")</f>
        <v>#VALUE!</v>
      </c>
      <c r="HR14" t="e">
        <f>AND('Application, video'!B17,"AAAAAF/zt+E=")</f>
        <v>#VALUE!</v>
      </c>
      <c r="HS14" t="e">
        <f>AND('Application, video'!C17,"AAAAAF/zt+I=")</f>
        <v>#VALUE!</v>
      </c>
      <c r="HT14" t="e">
        <f>AND('Application, video'!D17,"AAAAAF/zt+M=")</f>
        <v>#VALUE!</v>
      </c>
      <c r="HU14" t="e">
        <f>AND('Application, video'!E17,"AAAAAF/zt+Q=")</f>
        <v>#VALUE!</v>
      </c>
      <c r="HV14" t="e">
        <f>AND('Application, video'!F17,"AAAAAF/zt+U=")</f>
        <v>#VALUE!</v>
      </c>
      <c r="HW14" t="e">
        <f>AND('Application, video'!G17,"AAAAAF/zt+Y=")</f>
        <v>#VALUE!</v>
      </c>
      <c r="HX14" t="e">
        <f>AND('Application, video'!H17,"AAAAAF/zt+c=")</f>
        <v>#VALUE!</v>
      </c>
      <c r="HY14" t="e">
        <f>AND('Application, video'!I17,"AAAAAF/zt+g=")</f>
        <v>#VALUE!</v>
      </c>
      <c r="HZ14" t="e">
        <f>AND('Application, video'!J17,"AAAAAF/zt+k=")</f>
        <v>#VALUE!</v>
      </c>
      <c r="IA14" t="e">
        <f>AND('Application, video'!K17,"AAAAAF/zt+o=")</f>
        <v>#VALUE!</v>
      </c>
      <c r="IB14" t="e">
        <f>AND('Application, video'!L17,"AAAAAF/zt+s=")</f>
        <v>#VALUE!</v>
      </c>
      <c r="IC14" t="e">
        <f>AND('Application, video'!M17,"AAAAAF/zt+w=")</f>
        <v>#VALUE!</v>
      </c>
      <c r="ID14" t="e">
        <f>AND('Application, video'!N17,"AAAAAF/zt+0=")</f>
        <v>#VALUE!</v>
      </c>
      <c r="IE14">
        <f>IF('Application, video'!18:18,"AAAAAF/zt+4=",0)</f>
        <v>0</v>
      </c>
      <c r="IF14" t="e">
        <f>AND('Application, video'!A18,"AAAAAF/zt+8=")</f>
        <v>#VALUE!</v>
      </c>
      <c r="IG14" t="e">
        <f>AND('Application, video'!B18,"AAAAAF/zt/A=")</f>
        <v>#VALUE!</v>
      </c>
      <c r="IH14" t="e">
        <f>AND('Application, video'!C18,"AAAAAF/zt/E=")</f>
        <v>#VALUE!</v>
      </c>
      <c r="II14" t="e">
        <f>AND('Application, video'!D18,"AAAAAF/zt/I=")</f>
        <v>#VALUE!</v>
      </c>
      <c r="IJ14" t="e">
        <f>AND('Application, video'!E18,"AAAAAF/zt/M=")</f>
        <v>#VALUE!</v>
      </c>
      <c r="IK14" t="e">
        <f>AND('Application, video'!F18,"AAAAAF/zt/Q=")</f>
        <v>#VALUE!</v>
      </c>
      <c r="IL14" t="e">
        <f>AND('Application, video'!G18,"AAAAAF/zt/U=")</f>
        <v>#VALUE!</v>
      </c>
      <c r="IM14" t="e">
        <f>AND('Application, video'!H18,"AAAAAF/zt/Y=")</f>
        <v>#VALUE!</v>
      </c>
      <c r="IN14" t="e">
        <f>AND('Application, video'!I18,"AAAAAF/zt/c=")</f>
        <v>#VALUE!</v>
      </c>
      <c r="IO14" t="e">
        <f>AND('Application, video'!J18,"AAAAAF/zt/g=")</f>
        <v>#VALUE!</v>
      </c>
      <c r="IP14" t="e">
        <f>AND('Application, video'!K18,"AAAAAF/zt/k=")</f>
        <v>#VALUE!</v>
      </c>
      <c r="IQ14" t="e">
        <f>AND('Application, video'!L18,"AAAAAF/zt/o=")</f>
        <v>#VALUE!</v>
      </c>
      <c r="IR14" t="e">
        <f>AND('Application, video'!M18,"AAAAAF/zt/s=")</f>
        <v>#VALUE!</v>
      </c>
      <c r="IS14" t="e">
        <f>AND('Application, video'!N18,"AAAAAF/zt/w=")</f>
        <v>#VALUE!</v>
      </c>
      <c r="IT14">
        <f>IF('Application, video'!19:19,"AAAAAF/zt/0=",0)</f>
        <v>0</v>
      </c>
      <c r="IU14" t="e">
        <f>AND('Application, video'!A19,"AAAAAF/zt/4=")</f>
        <v>#VALUE!</v>
      </c>
      <c r="IV14" t="e">
        <f>AND('Application, video'!B19,"AAAAAF/zt/8=")</f>
        <v>#VALUE!</v>
      </c>
    </row>
    <row r="15" spans="1:256" ht="12.75">
      <c r="A15" t="e">
        <f>AND('Application, video'!C19,"AAAAAH/v9gA=")</f>
        <v>#VALUE!</v>
      </c>
      <c r="B15" t="e">
        <f>AND('Application, video'!D19,"AAAAAH/v9gE=")</f>
        <v>#VALUE!</v>
      </c>
      <c r="C15" t="e">
        <f>AND('Application, video'!E19,"AAAAAH/v9gI=")</f>
        <v>#VALUE!</v>
      </c>
      <c r="D15" t="e">
        <f>AND('Application, video'!F19,"AAAAAH/v9gM=")</f>
        <v>#VALUE!</v>
      </c>
      <c r="E15" t="e">
        <f>AND('Application, video'!G19,"AAAAAH/v9gQ=")</f>
        <v>#VALUE!</v>
      </c>
      <c r="F15" t="e">
        <f>AND('Application, video'!H19,"AAAAAH/v9gU=")</f>
        <v>#VALUE!</v>
      </c>
      <c r="G15" t="e">
        <f>AND('Application, video'!I19,"AAAAAH/v9gY=")</f>
        <v>#VALUE!</v>
      </c>
      <c r="H15" t="e">
        <f>AND('Application, video'!J19,"AAAAAH/v9gc=")</f>
        <v>#VALUE!</v>
      </c>
      <c r="I15" t="e">
        <f>AND('Application, video'!K19,"AAAAAH/v9gg=")</f>
        <v>#VALUE!</v>
      </c>
      <c r="J15" t="e">
        <f>AND('Application, video'!L19,"AAAAAH/v9gk=")</f>
        <v>#VALUE!</v>
      </c>
      <c r="K15" t="e">
        <f>AND('Application, video'!M19,"AAAAAH/v9go=")</f>
        <v>#VALUE!</v>
      </c>
      <c r="L15" t="e">
        <f>AND('Application, video'!N19,"AAAAAH/v9gs=")</f>
        <v>#VALUE!</v>
      </c>
      <c r="M15">
        <f>IF('Application, video'!20:20,"AAAAAH/v9gw=",0)</f>
        <v>0</v>
      </c>
      <c r="N15" t="e">
        <f>AND('Application, video'!A20,"AAAAAH/v9g0=")</f>
        <v>#VALUE!</v>
      </c>
      <c r="O15" t="e">
        <f>AND('Application, video'!B20,"AAAAAH/v9g4=")</f>
        <v>#VALUE!</v>
      </c>
      <c r="P15" t="e">
        <f>AND('Application, video'!C20,"AAAAAH/v9g8=")</f>
        <v>#VALUE!</v>
      </c>
      <c r="Q15" t="e">
        <f>AND('Application, video'!D20,"AAAAAH/v9hA=")</f>
        <v>#VALUE!</v>
      </c>
      <c r="R15" t="e">
        <f>AND('Application, video'!E20,"AAAAAH/v9hE=")</f>
        <v>#VALUE!</v>
      </c>
      <c r="S15" t="e">
        <f>AND('Application, video'!F20,"AAAAAH/v9hI=")</f>
        <v>#VALUE!</v>
      </c>
      <c r="T15" t="e">
        <f>AND('Application, video'!G20,"AAAAAH/v9hM=")</f>
        <v>#VALUE!</v>
      </c>
      <c r="U15" t="e">
        <f>AND('Application, video'!H20,"AAAAAH/v9hQ=")</f>
        <v>#VALUE!</v>
      </c>
      <c r="V15" t="e">
        <f>AND('Application, video'!I20,"AAAAAH/v9hU=")</f>
        <v>#VALUE!</v>
      </c>
      <c r="W15" t="e">
        <f>AND('Application, video'!J20,"AAAAAH/v9hY=")</f>
        <v>#VALUE!</v>
      </c>
      <c r="X15" t="e">
        <f>AND('Application, video'!K20,"AAAAAH/v9hc=")</f>
        <v>#VALUE!</v>
      </c>
      <c r="Y15" t="e">
        <f>AND('Application, video'!L20,"AAAAAH/v9hg=")</f>
        <v>#VALUE!</v>
      </c>
      <c r="Z15" t="e">
        <f>AND('Application, video'!M20,"AAAAAH/v9hk=")</f>
        <v>#VALUE!</v>
      </c>
      <c r="AA15" t="e">
        <f>AND('Application, video'!N20,"AAAAAH/v9ho=")</f>
        <v>#VALUE!</v>
      </c>
      <c r="AB15">
        <f>IF('Application, video'!21:21,"AAAAAH/v9hs=",0)</f>
        <v>0</v>
      </c>
      <c r="AC15" t="e">
        <f>AND('Application, video'!A21,"AAAAAH/v9hw=")</f>
        <v>#VALUE!</v>
      </c>
      <c r="AD15" t="e">
        <f>AND('Application, video'!B21,"AAAAAH/v9h0=")</f>
        <v>#VALUE!</v>
      </c>
      <c r="AE15" t="e">
        <f>AND('Application, video'!C21,"AAAAAH/v9h4=")</f>
        <v>#VALUE!</v>
      </c>
      <c r="AF15" t="e">
        <f>AND('Application, video'!D21,"AAAAAH/v9h8=")</f>
        <v>#VALUE!</v>
      </c>
      <c r="AG15" t="e">
        <f>AND('Application, video'!E21,"AAAAAH/v9iA=")</f>
        <v>#VALUE!</v>
      </c>
      <c r="AH15" t="e">
        <f>AND('Application, video'!F21,"AAAAAH/v9iE=")</f>
        <v>#VALUE!</v>
      </c>
      <c r="AI15" t="e">
        <f>AND('Application, video'!G21,"AAAAAH/v9iI=")</f>
        <v>#VALUE!</v>
      </c>
      <c r="AJ15" t="e">
        <f>AND('Application, video'!H21,"AAAAAH/v9iM=")</f>
        <v>#VALUE!</v>
      </c>
      <c r="AK15" t="e">
        <f>AND('Application, video'!I21,"AAAAAH/v9iQ=")</f>
        <v>#VALUE!</v>
      </c>
      <c r="AL15" t="e">
        <f>AND('Application, video'!J21,"AAAAAH/v9iU=")</f>
        <v>#VALUE!</v>
      </c>
      <c r="AM15" t="e">
        <f>AND('Application, video'!K21,"AAAAAH/v9iY=")</f>
        <v>#VALUE!</v>
      </c>
      <c r="AN15" t="e">
        <f>AND('Application, video'!L21,"AAAAAH/v9ic=")</f>
        <v>#VALUE!</v>
      </c>
      <c r="AO15" t="e">
        <f>AND('Application, video'!M21,"AAAAAH/v9ig=")</f>
        <v>#VALUE!</v>
      </c>
      <c r="AP15" t="e">
        <f>AND('Application, video'!N21,"AAAAAH/v9ik=")</f>
        <v>#VALUE!</v>
      </c>
      <c r="AQ15">
        <f>IF('Application, video'!22:22,"AAAAAH/v9io=",0)</f>
        <v>0</v>
      </c>
      <c r="AR15" t="e">
        <f>AND('Application, video'!A22,"AAAAAH/v9is=")</f>
        <v>#VALUE!</v>
      </c>
      <c r="AS15" t="e">
        <f>AND('Application, video'!B22,"AAAAAH/v9iw=")</f>
        <v>#VALUE!</v>
      </c>
      <c r="AT15" t="e">
        <f>AND('Application, video'!C22,"AAAAAH/v9i0=")</f>
        <v>#VALUE!</v>
      </c>
      <c r="AU15" t="e">
        <f>AND('Application, video'!D22,"AAAAAH/v9i4=")</f>
        <v>#VALUE!</v>
      </c>
      <c r="AV15" t="e">
        <f>AND('Application, video'!E22,"AAAAAH/v9i8=")</f>
        <v>#VALUE!</v>
      </c>
      <c r="AW15" t="e">
        <f>AND('Application, video'!F22,"AAAAAH/v9jA=")</f>
        <v>#VALUE!</v>
      </c>
      <c r="AX15" t="e">
        <f>AND('Application, video'!G22,"AAAAAH/v9jE=")</f>
        <v>#VALUE!</v>
      </c>
      <c r="AY15" t="e">
        <f>AND('Application, video'!H22,"AAAAAH/v9jI=")</f>
        <v>#VALUE!</v>
      </c>
      <c r="AZ15" t="e">
        <f>AND('Application, video'!I22,"AAAAAH/v9jM=")</f>
        <v>#VALUE!</v>
      </c>
      <c r="BA15" t="e">
        <f>AND('Application, video'!J22,"AAAAAH/v9jQ=")</f>
        <v>#VALUE!</v>
      </c>
      <c r="BB15" t="e">
        <f>AND('Application, video'!K22,"AAAAAH/v9jU=")</f>
        <v>#VALUE!</v>
      </c>
      <c r="BC15" t="e">
        <f>AND('Application, video'!L22,"AAAAAH/v9jY=")</f>
        <v>#VALUE!</v>
      </c>
      <c r="BD15" t="e">
        <f>AND('Application, video'!M22,"AAAAAH/v9jc=")</f>
        <v>#VALUE!</v>
      </c>
      <c r="BE15" t="e">
        <f>AND('Application, video'!N22,"AAAAAH/v9jg=")</f>
        <v>#VALUE!</v>
      </c>
      <c r="BF15">
        <f>IF('Application, video'!23:23,"AAAAAH/v9jk=",0)</f>
        <v>0</v>
      </c>
      <c r="BG15" t="e">
        <f>AND('Application, video'!A23,"AAAAAH/v9jo=")</f>
        <v>#VALUE!</v>
      </c>
      <c r="BH15" t="e">
        <f>AND('Application, video'!B23,"AAAAAH/v9js=")</f>
        <v>#VALUE!</v>
      </c>
      <c r="BI15" t="e">
        <f>AND('Application, video'!C23,"AAAAAH/v9jw=")</f>
        <v>#VALUE!</v>
      </c>
      <c r="BJ15" t="e">
        <f>AND('Application, video'!D23,"AAAAAH/v9j0=")</f>
        <v>#VALUE!</v>
      </c>
      <c r="BK15" t="e">
        <f>AND('Application, video'!E23,"AAAAAH/v9j4=")</f>
        <v>#VALUE!</v>
      </c>
      <c r="BL15" t="e">
        <f>AND('Application, video'!F23,"AAAAAH/v9j8=")</f>
        <v>#VALUE!</v>
      </c>
      <c r="BM15" t="e">
        <f>AND('Application, video'!G23,"AAAAAH/v9kA=")</f>
        <v>#VALUE!</v>
      </c>
      <c r="BN15" t="e">
        <f>AND('Application, video'!H23,"AAAAAH/v9kE=")</f>
        <v>#VALUE!</v>
      </c>
      <c r="BO15" t="e">
        <f>AND('Application, video'!I23,"AAAAAH/v9kI=")</f>
        <v>#VALUE!</v>
      </c>
      <c r="BP15" t="e">
        <f>AND('Application, video'!J23,"AAAAAH/v9kM=")</f>
        <v>#VALUE!</v>
      </c>
      <c r="BQ15" t="e">
        <f>AND('Application, video'!K23,"AAAAAH/v9kQ=")</f>
        <v>#VALUE!</v>
      </c>
      <c r="BR15" t="e">
        <f>AND('Application, video'!L23,"AAAAAH/v9kU=")</f>
        <v>#VALUE!</v>
      </c>
      <c r="BS15" t="e">
        <f>AND('Application, video'!M23,"AAAAAH/v9kY=")</f>
        <v>#VALUE!</v>
      </c>
      <c r="BT15" t="e">
        <f>AND('Application, video'!N23,"AAAAAH/v9kc=")</f>
        <v>#VALUE!</v>
      </c>
      <c r="BU15">
        <f>IF('Application, video'!24:24,"AAAAAH/v9kg=",0)</f>
        <v>0</v>
      </c>
      <c r="BV15" t="e">
        <f>AND('Application, video'!A24,"AAAAAH/v9kk=")</f>
        <v>#VALUE!</v>
      </c>
      <c r="BW15" t="e">
        <f>AND('Application, video'!B24,"AAAAAH/v9ko=")</f>
        <v>#VALUE!</v>
      </c>
      <c r="BX15" t="e">
        <f>AND('Application, video'!C24,"AAAAAH/v9ks=")</f>
        <v>#VALUE!</v>
      </c>
      <c r="BY15" t="e">
        <f>AND('Application, video'!D24,"AAAAAH/v9kw=")</f>
        <v>#VALUE!</v>
      </c>
      <c r="BZ15" t="e">
        <f>AND('Application, video'!E24,"AAAAAH/v9k0=")</f>
        <v>#VALUE!</v>
      </c>
      <c r="CA15" t="e">
        <f>AND('Application, video'!F24,"AAAAAH/v9k4=")</f>
        <v>#VALUE!</v>
      </c>
      <c r="CB15" t="e">
        <f>AND('Application, video'!G24,"AAAAAH/v9k8=")</f>
        <v>#VALUE!</v>
      </c>
      <c r="CC15" t="e">
        <f>AND('Application, video'!H24,"AAAAAH/v9lA=")</f>
        <v>#VALUE!</v>
      </c>
      <c r="CD15" t="e">
        <f>AND('Application, video'!I24,"AAAAAH/v9lE=")</f>
        <v>#VALUE!</v>
      </c>
      <c r="CE15" t="e">
        <f>AND('Application, video'!J24,"AAAAAH/v9lI=")</f>
        <v>#VALUE!</v>
      </c>
      <c r="CF15" t="e">
        <f>AND('Application, video'!K24,"AAAAAH/v9lM=")</f>
        <v>#VALUE!</v>
      </c>
      <c r="CG15" t="e">
        <f>AND('Application, video'!L24,"AAAAAH/v9lQ=")</f>
        <v>#VALUE!</v>
      </c>
      <c r="CH15" t="e">
        <f>AND('Application, video'!M24,"AAAAAH/v9lU=")</f>
        <v>#VALUE!</v>
      </c>
      <c r="CI15" t="e">
        <f>AND('Application, video'!N24,"AAAAAH/v9lY=")</f>
        <v>#VALUE!</v>
      </c>
      <c r="CJ15">
        <f>IF('Application, video'!25:25,"AAAAAH/v9lc=",0)</f>
        <v>0</v>
      </c>
      <c r="CK15" t="e">
        <f>AND('Application, video'!A25,"AAAAAH/v9lg=")</f>
        <v>#VALUE!</v>
      </c>
      <c r="CL15" t="e">
        <f>AND('Application, video'!B25,"AAAAAH/v9lk=")</f>
        <v>#VALUE!</v>
      </c>
      <c r="CM15" t="e">
        <f>AND('Application, video'!C25,"AAAAAH/v9lo=")</f>
        <v>#VALUE!</v>
      </c>
      <c r="CN15" t="e">
        <f>AND('Application, video'!D25,"AAAAAH/v9ls=")</f>
        <v>#VALUE!</v>
      </c>
      <c r="CO15" t="e">
        <f>AND('Application, video'!E25,"AAAAAH/v9lw=")</f>
        <v>#VALUE!</v>
      </c>
      <c r="CP15" t="e">
        <f>AND('Application, video'!F25,"AAAAAH/v9l0=")</f>
        <v>#VALUE!</v>
      </c>
      <c r="CQ15" t="e">
        <f>AND('Application, video'!G25,"AAAAAH/v9l4=")</f>
        <v>#VALUE!</v>
      </c>
      <c r="CR15" t="e">
        <f>AND('Application, video'!H25,"AAAAAH/v9l8=")</f>
        <v>#VALUE!</v>
      </c>
      <c r="CS15" t="e">
        <f>AND('Application, video'!I25,"AAAAAH/v9mA=")</f>
        <v>#VALUE!</v>
      </c>
      <c r="CT15" t="e">
        <f>AND('Application, video'!J25,"AAAAAH/v9mE=")</f>
        <v>#VALUE!</v>
      </c>
      <c r="CU15" t="e">
        <f>AND('Application, video'!K25,"AAAAAH/v9mI=")</f>
        <v>#VALUE!</v>
      </c>
      <c r="CV15" t="e">
        <f>AND('Application, video'!L25,"AAAAAH/v9mM=")</f>
        <v>#VALUE!</v>
      </c>
      <c r="CW15" t="e">
        <f>AND('Application, video'!M25,"AAAAAH/v9mQ=")</f>
        <v>#VALUE!</v>
      </c>
      <c r="CX15" t="e">
        <f>AND('Application, video'!N25,"AAAAAH/v9mU=")</f>
        <v>#VALUE!</v>
      </c>
      <c r="CY15">
        <f>IF('Application, video'!26:26,"AAAAAH/v9mY=",0)</f>
        <v>0</v>
      </c>
      <c r="CZ15" t="e">
        <f>AND('Application, video'!A26,"AAAAAH/v9mc=")</f>
        <v>#VALUE!</v>
      </c>
      <c r="DA15" t="e">
        <f>AND('Application, video'!B26,"AAAAAH/v9mg=")</f>
        <v>#VALUE!</v>
      </c>
      <c r="DB15" t="e">
        <f>AND('Application, video'!C26,"AAAAAH/v9mk=")</f>
        <v>#VALUE!</v>
      </c>
      <c r="DC15" t="e">
        <f>AND('Application, video'!D26,"AAAAAH/v9mo=")</f>
        <v>#VALUE!</v>
      </c>
      <c r="DD15" t="e">
        <f>AND('Application, video'!E26,"AAAAAH/v9ms=")</f>
        <v>#VALUE!</v>
      </c>
      <c r="DE15" t="e">
        <f>AND('Application, video'!F26,"AAAAAH/v9mw=")</f>
        <v>#VALUE!</v>
      </c>
      <c r="DF15" t="e">
        <f>AND('Application, video'!G26,"AAAAAH/v9m0=")</f>
        <v>#VALUE!</v>
      </c>
      <c r="DG15" t="e">
        <f>AND('Application, video'!H26,"AAAAAH/v9m4=")</f>
        <v>#VALUE!</v>
      </c>
      <c r="DH15" t="e">
        <f>AND('Application, video'!I26,"AAAAAH/v9m8=")</f>
        <v>#VALUE!</v>
      </c>
      <c r="DI15" t="e">
        <f>AND('Application, video'!J26,"AAAAAH/v9nA=")</f>
        <v>#VALUE!</v>
      </c>
      <c r="DJ15" t="e">
        <f>AND('Application, video'!K26,"AAAAAH/v9nE=")</f>
        <v>#VALUE!</v>
      </c>
      <c r="DK15" t="e">
        <f>AND('Application, video'!L26,"AAAAAH/v9nI=")</f>
        <v>#VALUE!</v>
      </c>
      <c r="DL15" t="e">
        <f>AND('Application, video'!M26,"AAAAAH/v9nM=")</f>
        <v>#VALUE!</v>
      </c>
      <c r="DM15" t="e">
        <f>AND('Application, video'!N26,"AAAAAH/v9nQ=")</f>
        <v>#VALUE!</v>
      </c>
      <c r="DN15">
        <f>IF('Application, video'!27:27,"AAAAAH/v9nU=",0)</f>
        <v>0</v>
      </c>
      <c r="DO15" t="e">
        <f>AND('Application, video'!A27,"AAAAAH/v9nY=")</f>
        <v>#VALUE!</v>
      </c>
      <c r="DP15" t="e">
        <f>AND('Application, video'!B27,"AAAAAH/v9nc=")</f>
        <v>#VALUE!</v>
      </c>
      <c r="DQ15" t="e">
        <f>AND('Application, video'!C27,"AAAAAH/v9ng=")</f>
        <v>#VALUE!</v>
      </c>
      <c r="DR15" t="e">
        <f>AND('Application, video'!D27,"AAAAAH/v9nk=")</f>
        <v>#VALUE!</v>
      </c>
      <c r="DS15" t="e">
        <f>AND('Application, video'!E27,"AAAAAH/v9no=")</f>
        <v>#VALUE!</v>
      </c>
      <c r="DT15" t="e">
        <f>AND('Application, video'!F27,"AAAAAH/v9ns=")</f>
        <v>#VALUE!</v>
      </c>
      <c r="DU15" t="e">
        <f>AND('Application, video'!G27,"AAAAAH/v9nw=")</f>
        <v>#VALUE!</v>
      </c>
      <c r="DV15" t="e">
        <f>AND('Application, video'!H27,"AAAAAH/v9n0=")</f>
        <v>#VALUE!</v>
      </c>
      <c r="DW15" t="e">
        <f>AND('Application, video'!I27,"AAAAAH/v9n4=")</f>
        <v>#VALUE!</v>
      </c>
      <c r="DX15" t="e">
        <f>AND('Application, video'!J27,"AAAAAH/v9n8=")</f>
        <v>#VALUE!</v>
      </c>
      <c r="DY15" t="e">
        <f>AND('Application, video'!K27,"AAAAAH/v9oA=")</f>
        <v>#VALUE!</v>
      </c>
      <c r="DZ15" t="e">
        <f>AND('Application, video'!L27,"AAAAAH/v9oE=")</f>
        <v>#VALUE!</v>
      </c>
      <c r="EA15" t="e">
        <f>AND('Application, video'!M27,"AAAAAH/v9oI=")</f>
        <v>#VALUE!</v>
      </c>
      <c r="EB15" t="e">
        <f>AND('Application, video'!N27,"AAAAAH/v9oM=")</f>
        <v>#VALUE!</v>
      </c>
      <c r="EC15">
        <f>IF('Application, video'!28:28,"AAAAAH/v9oQ=",0)</f>
        <v>0</v>
      </c>
      <c r="ED15" t="e">
        <f>AND('Application, video'!A28,"AAAAAH/v9oU=")</f>
        <v>#VALUE!</v>
      </c>
      <c r="EE15" t="e">
        <f>AND('Application, video'!B28,"AAAAAH/v9oY=")</f>
        <v>#VALUE!</v>
      </c>
      <c r="EF15" t="e">
        <f>AND('Application, video'!C28,"AAAAAH/v9oc=")</f>
        <v>#VALUE!</v>
      </c>
      <c r="EG15" t="e">
        <f>AND('Application, video'!D28,"AAAAAH/v9og=")</f>
        <v>#VALUE!</v>
      </c>
      <c r="EH15" t="e">
        <f>AND('Application, video'!E28,"AAAAAH/v9ok=")</f>
        <v>#VALUE!</v>
      </c>
      <c r="EI15" t="e">
        <f>AND('Application, video'!F28,"AAAAAH/v9oo=")</f>
        <v>#VALUE!</v>
      </c>
      <c r="EJ15" t="e">
        <f>AND('Application, video'!G28,"AAAAAH/v9os=")</f>
        <v>#VALUE!</v>
      </c>
      <c r="EK15" t="e">
        <f>AND('Application, video'!H28,"AAAAAH/v9ow=")</f>
        <v>#VALUE!</v>
      </c>
      <c r="EL15" t="e">
        <f>AND('Application, video'!I28,"AAAAAH/v9o0=")</f>
        <v>#VALUE!</v>
      </c>
      <c r="EM15" t="e">
        <f>AND('Application, video'!J28,"AAAAAH/v9o4=")</f>
        <v>#VALUE!</v>
      </c>
      <c r="EN15" t="e">
        <f>AND('Application, video'!K28,"AAAAAH/v9o8=")</f>
        <v>#VALUE!</v>
      </c>
      <c r="EO15" t="e">
        <f>AND('Application, video'!L28,"AAAAAH/v9pA=")</f>
        <v>#VALUE!</v>
      </c>
      <c r="EP15" t="e">
        <f>AND('Application, video'!M28,"AAAAAH/v9pE=")</f>
        <v>#VALUE!</v>
      </c>
      <c r="EQ15" t="e">
        <f>AND('Application, video'!N28,"AAAAAH/v9pI=")</f>
        <v>#VALUE!</v>
      </c>
      <c r="ER15">
        <f>IF('Application, video'!29:29,"AAAAAH/v9pM=",0)</f>
        <v>0</v>
      </c>
      <c r="ES15" t="e">
        <f>AND('Application, video'!A29,"AAAAAH/v9pQ=")</f>
        <v>#VALUE!</v>
      </c>
      <c r="ET15" t="e">
        <f>AND('Application, video'!B29,"AAAAAH/v9pU=")</f>
        <v>#VALUE!</v>
      </c>
      <c r="EU15" t="e">
        <f>AND('Application, video'!C29,"AAAAAH/v9pY=")</f>
        <v>#VALUE!</v>
      </c>
      <c r="EV15" t="e">
        <f>AND('Application, video'!D29,"AAAAAH/v9pc=")</f>
        <v>#VALUE!</v>
      </c>
      <c r="EW15" t="e">
        <f>AND('Application, video'!E29,"AAAAAH/v9pg=")</f>
        <v>#VALUE!</v>
      </c>
      <c r="EX15" t="e">
        <f>AND('Application, video'!F29,"AAAAAH/v9pk=")</f>
        <v>#VALUE!</v>
      </c>
      <c r="EY15" t="e">
        <f>AND('Application, video'!G29,"AAAAAH/v9po=")</f>
        <v>#VALUE!</v>
      </c>
      <c r="EZ15" t="e">
        <f>AND('Application, video'!H29,"AAAAAH/v9ps=")</f>
        <v>#VALUE!</v>
      </c>
      <c r="FA15" t="e">
        <f>AND('Application, video'!I29,"AAAAAH/v9pw=")</f>
        <v>#VALUE!</v>
      </c>
      <c r="FB15" t="e">
        <f>AND('Application, video'!J29,"AAAAAH/v9p0=")</f>
        <v>#VALUE!</v>
      </c>
      <c r="FC15" t="e">
        <f>AND('Application, video'!K29,"AAAAAH/v9p4=")</f>
        <v>#VALUE!</v>
      </c>
      <c r="FD15" t="e">
        <f>AND('Application, video'!L29,"AAAAAH/v9p8=")</f>
        <v>#VALUE!</v>
      </c>
      <c r="FE15" t="e">
        <f>AND('Application, video'!M29,"AAAAAH/v9qA=")</f>
        <v>#VALUE!</v>
      </c>
      <c r="FF15" t="e">
        <f>AND('Application, video'!N29,"AAAAAH/v9qE=")</f>
        <v>#VALUE!</v>
      </c>
      <c r="FG15">
        <f>IF('Application, video'!30:30,"AAAAAH/v9qI=",0)</f>
        <v>0</v>
      </c>
      <c r="FH15" t="e">
        <f>AND('Application, video'!A30,"AAAAAH/v9qM=")</f>
        <v>#VALUE!</v>
      </c>
      <c r="FI15" t="e">
        <f>AND('Application, video'!B30,"AAAAAH/v9qQ=")</f>
        <v>#VALUE!</v>
      </c>
      <c r="FJ15" t="e">
        <f>AND('Application, video'!C30,"AAAAAH/v9qU=")</f>
        <v>#VALUE!</v>
      </c>
      <c r="FK15" t="e">
        <f>AND('Application, video'!D30,"AAAAAH/v9qY=")</f>
        <v>#VALUE!</v>
      </c>
      <c r="FL15" t="e">
        <f>AND('Application, video'!E30,"AAAAAH/v9qc=")</f>
        <v>#VALUE!</v>
      </c>
      <c r="FM15" t="e">
        <f>AND('Application, video'!F30,"AAAAAH/v9qg=")</f>
        <v>#VALUE!</v>
      </c>
      <c r="FN15" t="e">
        <f>AND('Application, video'!G30,"AAAAAH/v9qk=")</f>
        <v>#VALUE!</v>
      </c>
      <c r="FO15" t="e">
        <f>AND('Application, video'!H30,"AAAAAH/v9qo=")</f>
        <v>#VALUE!</v>
      </c>
      <c r="FP15" t="e">
        <f>AND('Application, video'!I30,"AAAAAH/v9qs=")</f>
        <v>#VALUE!</v>
      </c>
      <c r="FQ15" t="e">
        <f>AND('Application, video'!J30,"AAAAAH/v9qw=")</f>
        <v>#VALUE!</v>
      </c>
      <c r="FR15" t="e">
        <f>AND('Application, video'!K30,"AAAAAH/v9q0=")</f>
        <v>#VALUE!</v>
      </c>
      <c r="FS15" t="e">
        <f>AND('Application, video'!L30,"AAAAAH/v9q4=")</f>
        <v>#VALUE!</v>
      </c>
      <c r="FT15" t="e">
        <f>AND('Application, video'!M30,"AAAAAH/v9q8=")</f>
        <v>#VALUE!</v>
      </c>
      <c r="FU15" t="e">
        <f>AND('Application, video'!N30,"AAAAAH/v9rA=")</f>
        <v>#VALUE!</v>
      </c>
      <c r="FV15">
        <f>IF('Application, video'!31:31,"AAAAAH/v9rE=",0)</f>
        <v>0</v>
      </c>
      <c r="FW15" t="e">
        <f>AND('Application, video'!A31,"AAAAAH/v9rI=")</f>
        <v>#VALUE!</v>
      </c>
      <c r="FX15" t="e">
        <f>AND('Application, video'!B31,"AAAAAH/v9rM=")</f>
        <v>#VALUE!</v>
      </c>
      <c r="FY15" t="e">
        <f>AND('Application, video'!C31,"AAAAAH/v9rQ=")</f>
        <v>#VALUE!</v>
      </c>
      <c r="FZ15" t="e">
        <f>AND('Application, video'!D31,"AAAAAH/v9rU=")</f>
        <v>#VALUE!</v>
      </c>
      <c r="GA15" t="e">
        <f>AND('Application, video'!E31,"AAAAAH/v9rY=")</f>
        <v>#VALUE!</v>
      </c>
      <c r="GB15" t="e">
        <f>AND('Application, video'!F31,"AAAAAH/v9rc=")</f>
        <v>#VALUE!</v>
      </c>
      <c r="GC15" t="e">
        <f>AND('Application, video'!G31,"AAAAAH/v9rg=")</f>
        <v>#VALUE!</v>
      </c>
      <c r="GD15" t="e">
        <f>AND('Application, video'!H31,"AAAAAH/v9rk=")</f>
        <v>#VALUE!</v>
      </c>
      <c r="GE15" t="e">
        <f>AND('Application, video'!I31,"AAAAAH/v9ro=")</f>
        <v>#VALUE!</v>
      </c>
      <c r="GF15" t="e">
        <f>AND('Application, video'!J31,"AAAAAH/v9rs=")</f>
        <v>#VALUE!</v>
      </c>
      <c r="GG15" t="e">
        <f>AND('Application, video'!K31,"AAAAAH/v9rw=")</f>
        <v>#VALUE!</v>
      </c>
      <c r="GH15" t="e">
        <f>AND('Application, video'!L31,"AAAAAH/v9r0=")</f>
        <v>#VALUE!</v>
      </c>
      <c r="GI15" t="e">
        <f>AND('Application, video'!M31,"AAAAAH/v9r4=")</f>
        <v>#VALUE!</v>
      </c>
      <c r="GJ15" t="e">
        <f>AND('Application, video'!N31,"AAAAAH/v9r8=")</f>
        <v>#VALUE!</v>
      </c>
      <c r="GK15">
        <f>IF('Application, video'!32:32,"AAAAAH/v9sA=",0)</f>
        <v>0</v>
      </c>
      <c r="GL15" t="e">
        <f>AND('Application, video'!A32,"AAAAAH/v9sE=")</f>
        <v>#VALUE!</v>
      </c>
      <c r="GM15" t="e">
        <f>AND('Application, video'!B32,"AAAAAH/v9sI=")</f>
        <v>#VALUE!</v>
      </c>
      <c r="GN15" t="e">
        <f>AND('Application, video'!C32,"AAAAAH/v9sM=")</f>
        <v>#VALUE!</v>
      </c>
      <c r="GO15" t="e">
        <f>AND('Application, video'!D32,"AAAAAH/v9sQ=")</f>
        <v>#VALUE!</v>
      </c>
      <c r="GP15" t="e">
        <f>AND('Application, video'!E32,"AAAAAH/v9sU=")</f>
        <v>#VALUE!</v>
      </c>
      <c r="GQ15" t="e">
        <f>AND('Application, video'!F32,"AAAAAH/v9sY=")</f>
        <v>#VALUE!</v>
      </c>
      <c r="GR15" t="e">
        <f>AND('Application, video'!G32,"AAAAAH/v9sc=")</f>
        <v>#VALUE!</v>
      </c>
      <c r="GS15" t="e">
        <f>AND('Application, video'!H32,"AAAAAH/v9sg=")</f>
        <v>#VALUE!</v>
      </c>
      <c r="GT15" t="e">
        <f>AND('Application, video'!I32,"AAAAAH/v9sk=")</f>
        <v>#VALUE!</v>
      </c>
      <c r="GU15" t="e">
        <f>AND('Application, video'!J32,"AAAAAH/v9so=")</f>
        <v>#VALUE!</v>
      </c>
      <c r="GV15" t="e">
        <f>AND('Application, video'!K32,"AAAAAH/v9ss=")</f>
        <v>#VALUE!</v>
      </c>
      <c r="GW15" t="e">
        <f>AND('Application, video'!L32,"AAAAAH/v9sw=")</f>
        <v>#VALUE!</v>
      </c>
      <c r="GX15" t="e">
        <f>AND('Application, video'!M32,"AAAAAH/v9s0=")</f>
        <v>#VALUE!</v>
      </c>
      <c r="GY15" t="e">
        <f>AND('Application, video'!N32,"AAAAAH/v9s4=")</f>
        <v>#VALUE!</v>
      </c>
      <c r="GZ15">
        <f>IF('Application, video'!33:33,"AAAAAH/v9s8=",0)</f>
        <v>0</v>
      </c>
      <c r="HA15" t="e">
        <f>AND('Application, video'!A33,"AAAAAH/v9tA=")</f>
        <v>#VALUE!</v>
      </c>
      <c r="HB15" t="e">
        <f>AND('Application, video'!B33,"AAAAAH/v9tE=")</f>
        <v>#VALUE!</v>
      </c>
      <c r="HC15" t="e">
        <f>AND('Application, video'!C33,"AAAAAH/v9tI=")</f>
        <v>#VALUE!</v>
      </c>
      <c r="HD15" t="e">
        <f>AND('Application, video'!D33,"AAAAAH/v9tM=")</f>
        <v>#VALUE!</v>
      </c>
      <c r="HE15" t="e">
        <f>AND('Application, video'!E33,"AAAAAH/v9tQ=")</f>
        <v>#VALUE!</v>
      </c>
      <c r="HF15" t="e">
        <f>AND('Application, video'!F33,"AAAAAH/v9tU=")</f>
        <v>#VALUE!</v>
      </c>
      <c r="HG15" t="e">
        <f>AND('Application, video'!G33,"AAAAAH/v9tY=")</f>
        <v>#VALUE!</v>
      </c>
      <c r="HH15" t="e">
        <f>AND('Application, video'!H33,"AAAAAH/v9tc=")</f>
        <v>#VALUE!</v>
      </c>
      <c r="HI15" t="e">
        <f>AND('Application, video'!I33,"AAAAAH/v9tg=")</f>
        <v>#VALUE!</v>
      </c>
      <c r="HJ15" t="e">
        <f>AND('Application, video'!J33,"AAAAAH/v9tk=")</f>
        <v>#VALUE!</v>
      </c>
      <c r="HK15" t="e">
        <f>AND('Application, video'!K33,"AAAAAH/v9to=")</f>
        <v>#VALUE!</v>
      </c>
      <c r="HL15" t="e">
        <f>AND('Application, video'!L33,"AAAAAH/v9ts=")</f>
        <v>#VALUE!</v>
      </c>
      <c r="HM15" t="e">
        <f>AND('Application, video'!M33,"AAAAAH/v9tw=")</f>
        <v>#VALUE!</v>
      </c>
      <c r="HN15" t="e">
        <f>AND('Application, video'!N33,"AAAAAH/v9t0=")</f>
        <v>#VALUE!</v>
      </c>
      <c r="HO15">
        <f>IF('Application, video'!34:34,"AAAAAH/v9t4=",0)</f>
        <v>0</v>
      </c>
      <c r="HP15" t="e">
        <f>AND('Application, video'!A34,"AAAAAH/v9t8=")</f>
        <v>#VALUE!</v>
      </c>
      <c r="HQ15" t="e">
        <f>AND('Application, video'!B34,"AAAAAH/v9uA=")</f>
        <v>#VALUE!</v>
      </c>
      <c r="HR15" t="e">
        <f>AND('Application, video'!C34,"AAAAAH/v9uE=")</f>
        <v>#VALUE!</v>
      </c>
      <c r="HS15" t="e">
        <f>AND('Application, video'!D34,"AAAAAH/v9uI=")</f>
        <v>#VALUE!</v>
      </c>
      <c r="HT15" t="e">
        <f>AND('Application, video'!E34,"AAAAAH/v9uM=")</f>
        <v>#VALUE!</v>
      </c>
      <c r="HU15" t="e">
        <f>AND('Application, video'!F34,"AAAAAH/v9uQ=")</f>
        <v>#VALUE!</v>
      </c>
      <c r="HV15" t="e">
        <f>AND('Application, video'!G34,"AAAAAH/v9uU=")</f>
        <v>#VALUE!</v>
      </c>
      <c r="HW15" t="e">
        <f>AND('Application, video'!H34,"AAAAAH/v9uY=")</f>
        <v>#VALUE!</v>
      </c>
      <c r="HX15" t="e">
        <f>AND('Application, video'!I34,"AAAAAH/v9uc=")</f>
        <v>#VALUE!</v>
      </c>
      <c r="HY15" t="e">
        <f>AND('Application, video'!J34,"AAAAAH/v9ug=")</f>
        <v>#VALUE!</v>
      </c>
      <c r="HZ15" t="e">
        <f>AND('Application, video'!K34,"AAAAAH/v9uk=")</f>
        <v>#VALUE!</v>
      </c>
      <c r="IA15" t="e">
        <f>AND('Application, video'!L34,"AAAAAH/v9uo=")</f>
        <v>#VALUE!</v>
      </c>
      <c r="IB15" t="e">
        <f>AND('Application, video'!M34,"AAAAAH/v9us=")</f>
        <v>#VALUE!</v>
      </c>
      <c r="IC15" t="e">
        <f>AND('Application, video'!N34,"AAAAAH/v9uw=")</f>
        <v>#VALUE!</v>
      </c>
      <c r="ID15">
        <f>IF('Application, video'!35:35,"AAAAAH/v9u0=",0)</f>
        <v>0</v>
      </c>
      <c r="IE15" t="e">
        <f>AND('Application, video'!A35,"AAAAAH/v9u4=")</f>
        <v>#VALUE!</v>
      </c>
      <c r="IF15" t="e">
        <f>AND('Application, video'!B35,"AAAAAH/v9u8=")</f>
        <v>#VALUE!</v>
      </c>
      <c r="IG15" t="e">
        <f>AND('Application, video'!C35,"AAAAAH/v9vA=")</f>
        <v>#VALUE!</v>
      </c>
      <c r="IH15" t="e">
        <f>AND('Application, video'!D35,"AAAAAH/v9vE=")</f>
        <v>#VALUE!</v>
      </c>
      <c r="II15" t="e">
        <f>AND('Application, video'!E35,"AAAAAH/v9vI=")</f>
        <v>#VALUE!</v>
      </c>
      <c r="IJ15" t="e">
        <f>AND('Application, video'!F35,"AAAAAH/v9vM=")</f>
        <v>#VALUE!</v>
      </c>
      <c r="IK15" t="e">
        <f>AND('Application, video'!G35,"AAAAAH/v9vQ=")</f>
        <v>#VALUE!</v>
      </c>
      <c r="IL15" t="e">
        <f>AND('Application, video'!H35,"AAAAAH/v9vU=")</f>
        <v>#VALUE!</v>
      </c>
      <c r="IM15" t="e">
        <f>AND('Application, video'!I35,"AAAAAH/v9vY=")</f>
        <v>#VALUE!</v>
      </c>
      <c r="IN15" t="e">
        <f>AND('Application, video'!J35,"AAAAAH/v9vc=")</f>
        <v>#VALUE!</v>
      </c>
      <c r="IO15" t="e">
        <f>AND('Application, video'!K35,"AAAAAH/v9vg=")</f>
        <v>#VALUE!</v>
      </c>
      <c r="IP15" t="e">
        <f>AND('Application, video'!L35,"AAAAAH/v9vk=")</f>
        <v>#VALUE!</v>
      </c>
      <c r="IQ15" t="e">
        <f>AND('Application, video'!M35,"AAAAAH/v9vo=")</f>
        <v>#VALUE!</v>
      </c>
      <c r="IR15" t="e">
        <f>AND('Application, video'!N35,"AAAAAH/v9vs=")</f>
        <v>#VALUE!</v>
      </c>
      <c r="IS15">
        <f>IF('Application, video'!36:36,"AAAAAH/v9vw=",0)</f>
        <v>0</v>
      </c>
      <c r="IT15" t="e">
        <f>AND('Application, video'!A36,"AAAAAH/v9v0=")</f>
        <v>#VALUE!</v>
      </c>
      <c r="IU15" t="e">
        <f>AND('Application, video'!B36,"AAAAAH/v9v4=")</f>
        <v>#VALUE!</v>
      </c>
      <c r="IV15" t="e">
        <f>AND('Application, video'!C36,"AAAAAH/v9v8=")</f>
        <v>#VALUE!</v>
      </c>
    </row>
    <row r="16" spans="1:256" ht="12.75">
      <c r="A16" t="e">
        <f>AND('Application, video'!D36,"AAAAAC7e/QA=")</f>
        <v>#VALUE!</v>
      </c>
      <c r="B16" t="e">
        <f>AND('Application, video'!E36,"AAAAAC7e/QE=")</f>
        <v>#VALUE!</v>
      </c>
      <c r="C16" t="e">
        <f>AND('Application, video'!F36,"AAAAAC7e/QI=")</f>
        <v>#VALUE!</v>
      </c>
      <c r="D16" t="e">
        <f>AND('Application, video'!G36,"AAAAAC7e/QM=")</f>
        <v>#VALUE!</v>
      </c>
      <c r="E16" t="e">
        <f>AND('Application, video'!H36,"AAAAAC7e/QQ=")</f>
        <v>#VALUE!</v>
      </c>
      <c r="F16" t="e">
        <f>AND('Application, video'!I36,"AAAAAC7e/QU=")</f>
        <v>#VALUE!</v>
      </c>
      <c r="G16" t="e">
        <f>AND('Application, video'!J36,"AAAAAC7e/QY=")</f>
        <v>#VALUE!</v>
      </c>
      <c r="H16" t="e">
        <f>AND('Application, video'!K36,"AAAAAC7e/Qc=")</f>
        <v>#VALUE!</v>
      </c>
      <c r="I16" t="e">
        <f>AND('Application, video'!L36,"AAAAAC7e/Qg=")</f>
        <v>#VALUE!</v>
      </c>
      <c r="J16" t="e">
        <f>AND('Application, video'!M36,"AAAAAC7e/Qk=")</f>
        <v>#VALUE!</v>
      </c>
      <c r="K16" t="e">
        <f>AND('Application, video'!N36,"AAAAAC7e/Qo=")</f>
        <v>#VALUE!</v>
      </c>
      <c r="L16">
        <f>IF('Application, video'!37:37,"AAAAAC7e/Qs=",0)</f>
        <v>0</v>
      </c>
      <c r="M16" t="e">
        <f>AND('Application, video'!A37,"AAAAAC7e/Qw=")</f>
        <v>#VALUE!</v>
      </c>
      <c r="N16" t="e">
        <f>AND('Application, video'!B37,"AAAAAC7e/Q0=")</f>
        <v>#VALUE!</v>
      </c>
      <c r="O16" t="e">
        <f>AND('Application, video'!C37,"AAAAAC7e/Q4=")</f>
        <v>#VALUE!</v>
      </c>
      <c r="P16" t="e">
        <f>AND('Application, video'!D37,"AAAAAC7e/Q8=")</f>
        <v>#VALUE!</v>
      </c>
      <c r="Q16" t="e">
        <f>AND('Application, video'!E37,"AAAAAC7e/RA=")</f>
        <v>#VALUE!</v>
      </c>
      <c r="R16" t="e">
        <f>AND('Application, video'!F37,"AAAAAC7e/RE=")</f>
        <v>#VALUE!</v>
      </c>
      <c r="S16" t="e">
        <f>AND('Application, video'!G37,"AAAAAC7e/RI=")</f>
        <v>#VALUE!</v>
      </c>
      <c r="T16" t="e">
        <f>AND('Application, video'!H37,"AAAAAC7e/RM=")</f>
        <v>#VALUE!</v>
      </c>
      <c r="U16" t="e">
        <f>AND('Application, video'!I37,"AAAAAC7e/RQ=")</f>
        <v>#VALUE!</v>
      </c>
      <c r="V16" t="e">
        <f>AND('Application, video'!J37,"AAAAAC7e/RU=")</f>
        <v>#VALUE!</v>
      </c>
      <c r="W16" t="e">
        <f>AND('Application, video'!K37,"AAAAAC7e/RY=")</f>
        <v>#VALUE!</v>
      </c>
      <c r="X16" t="e">
        <f>AND('Application, video'!L37,"AAAAAC7e/Rc=")</f>
        <v>#VALUE!</v>
      </c>
      <c r="Y16" t="e">
        <f>AND('Application, video'!M37,"AAAAAC7e/Rg=")</f>
        <v>#VALUE!</v>
      </c>
      <c r="Z16" t="e">
        <f>AND('Application, video'!N37,"AAAAAC7e/Rk=")</f>
        <v>#VALUE!</v>
      </c>
      <c r="AA16">
        <f>IF('Application, video'!38:38,"AAAAAC7e/Ro=",0)</f>
        <v>0</v>
      </c>
      <c r="AB16" t="e">
        <f>AND('Application, video'!A38,"AAAAAC7e/Rs=")</f>
        <v>#VALUE!</v>
      </c>
      <c r="AC16" t="e">
        <f>AND('Application, video'!B38,"AAAAAC7e/Rw=")</f>
        <v>#VALUE!</v>
      </c>
      <c r="AD16" t="e">
        <f>AND('Application, video'!C38,"AAAAAC7e/R0=")</f>
        <v>#VALUE!</v>
      </c>
      <c r="AE16" t="e">
        <f>AND('Application, video'!D38,"AAAAAC7e/R4=")</f>
        <v>#VALUE!</v>
      </c>
      <c r="AF16" t="e">
        <f>AND('Application, video'!E38,"AAAAAC7e/R8=")</f>
        <v>#VALUE!</v>
      </c>
      <c r="AG16" t="e">
        <f>AND('Application, video'!F38,"AAAAAC7e/SA=")</f>
        <v>#VALUE!</v>
      </c>
      <c r="AH16" t="e">
        <f>AND('Application, video'!G38,"AAAAAC7e/SE=")</f>
        <v>#VALUE!</v>
      </c>
      <c r="AI16" t="e">
        <f>AND('Application, video'!H38,"AAAAAC7e/SI=")</f>
        <v>#VALUE!</v>
      </c>
      <c r="AJ16" t="e">
        <f>AND('Application, video'!I38,"AAAAAC7e/SM=")</f>
        <v>#VALUE!</v>
      </c>
      <c r="AK16" t="e">
        <f>AND('Application, video'!J38,"AAAAAC7e/SQ=")</f>
        <v>#VALUE!</v>
      </c>
      <c r="AL16" t="e">
        <f>AND('Application, video'!K38,"AAAAAC7e/SU=")</f>
        <v>#VALUE!</v>
      </c>
      <c r="AM16" t="e">
        <f>AND('Application, video'!L38,"AAAAAC7e/SY=")</f>
        <v>#VALUE!</v>
      </c>
      <c r="AN16" t="e">
        <f>AND('Application, video'!M38,"AAAAAC7e/Sc=")</f>
        <v>#VALUE!</v>
      </c>
      <c r="AO16" t="e">
        <f>AND('Application, video'!N38,"AAAAAC7e/Sg=")</f>
        <v>#VALUE!</v>
      </c>
      <c r="AP16">
        <f>IF('Application, video'!39:39,"AAAAAC7e/Sk=",0)</f>
        <v>0</v>
      </c>
      <c r="AQ16" t="e">
        <f>AND('Application, video'!A39,"AAAAAC7e/So=")</f>
        <v>#VALUE!</v>
      </c>
      <c r="AR16" t="e">
        <f>AND('Application, video'!B39,"AAAAAC7e/Ss=")</f>
        <v>#VALUE!</v>
      </c>
      <c r="AS16" t="e">
        <f>AND('Application, video'!C39,"AAAAAC7e/Sw=")</f>
        <v>#VALUE!</v>
      </c>
      <c r="AT16" t="e">
        <f>AND('Application, video'!D39,"AAAAAC7e/S0=")</f>
        <v>#VALUE!</v>
      </c>
      <c r="AU16" t="e">
        <f>AND('Application, video'!E39,"AAAAAC7e/S4=")</f>
        <v>#VALUE!</v>
      </c>
      <c r="AV16" t="e">
        <f>AND('Application, video'!F39,"AAAAAC7e/S8=")</f>
        <v>#VALUE!</v>
      </c>
      <c r="AW16" t="e">
        <f>AND('Application, video'!G39,"AAAAAC7e/TA=")</f>
        <v>#VALUE!</v>
      </c>
      <c r="AX16" t="e">
        <f>AND('Application, video'!H39,"AAAAAC7e/TE=")</f>
        <v>#VALUE!</v>
      </c>
      <c r="AY16" t="e">
        <f>AND('Application, video'!I39,"AAAAAC7e/TI=")</f>
        <v>#VALUE!</v>
      </c>
      <c r="AZ16" t="e">
        <f>AND('Application, video'!J39,"AAAAAC7e/TM=")</f>
        <v>#VALUE!</v>
      </c>
      <c r="BA16" t="e">
        <f>AND('Application, video'!K39,"AAAAAC7e/TQ=")</f>
        <v>#VALUE!</v>
      </c>
      <c r="BB16" t="e">
        <f>AND('Application, video'!L39,"AAAAAC7e/TU=")</f>
        <v>#VALUE!</v>
      </c>
      <c r="BC16" t="e">
        <f>AND('Application, video'!M39,"AAAAAC7e/TY=")</f>
        <v>#VALUE!</v>
      </c>
      <c r="BD16" t="e">
        <f>AND('Application, video'!N39,"AAAAAC7e/Tc=")</f>
        <v>#VALUE!</v>
      </c>
      <c r="BE16">
        <f>IF('Application, video'!40:40,"AAAAAC7e/Tg=",0)</f>
        <v>0</v>
      </c>
      <c r="BF16" t="e">
        <f>AND('Application, video'!A40,"AAAAAC7e/Tk=")</f>
        <v>#VALUE!</v>
      </c>
      <c r="BG16" t="e">
        <f>AND('Application, video'!B40,"AAAAAC7e/To=")</f>
        <v>#VALUE!</v>
      </c>
      <c r="BH16" t="e">
        <f>AND('Application, video'!C40,"AAAAAC7e/Ts=")</f>
        <v>#VALUE!</v>
      </c>
      <c r="BI16" t="e">
        <f>AND('Application, video'!D40,"AAAAAC7e/Tw=")</f>
        <v>#VALUE!</v>
      </c>
      <c r="BJ16" t="e">
        <f>AND('Application, video'!E40,"AAAAAC7e/T0=")</f>
        <v>#VALUE!</v>
      </c>
      <c r="BK16" t="e">
        <f>AND('Application, video'!F40,"AAAAAC7e/T4=")</f>
        <v>#VALUE!</v>
      </c>
      <c r="BL16" t="e">
        <f>AND('Application, video'!G40,"AAAAAC7e/T8=")</f>
        <v>#VALUE!</v>
      </c>
      <c r="BM16" t="e">
        <f>AND('Application, video'!H40,"AAAAAC7e/UA=")</f>
        <v>#VALUE!</v>
      </c>
      <c r="BN16" t="e">
        <f>AND('Application, video'!I40,"AAAAAC7e/UE=")</f>
        <v>#VALUE!</v>
      </c>
      <c r="BO16" t="e">
        <f>AND('Application, video'!J40,"AAAAAC7e/UI=")</f>
        <v>#VALUE!</v>
      </c>
      <c r="BP16" t="e">
        <f>AND('Application, video'!K40,"AAAAAC7e/UM=")</f>
        <v>#VALUE!</v>
      </c>
      <c r="BQ16" t="e">
        <f>AND('Application, video'!L40,"AAAAAC7e/UQ=")</f>
        <v>#VALUE!</v>
      </c>
      <c r="BR16" t="e">
        <f>AND('Application, video'!M40,"AAAAAC7e/UU=")</f>
        <v>#VALUE!</v>
      </c>
      <c r="BS16" t="e">
        <f>AND('Application, video'!N40,"AAAAAC7e/UY=")</f>
        <v>#VALUE!</v>
      </c>
      <c r="BT16">
        <f>IF('Application, video'!41:41,"AAAAAC7e/Uc=",0)</f>
        <v>0</v>
      </c>
      <c r="BU16" t="e">
        <f>AND('Application, video'!A41,"AAAAAC7e/Ug=")</f>
        <v>#VALUE!</v>
      </c>
      <c r="BV16" t="e">
        <f>AND('Application, video'!B41,"AAAAAC7e/Uk=")</f>
        <v>#VALUE!</v>
      </c>
      <c r="BW16" t="e">
        <f>AND('Application, video'!C41,"AAAAAC7e/Uo=")</f>
        <v>#VALUE!</v>
      </c>
      <c r="BX16" t="e">
        <f>AND('Application, video'!D41,"AAAAAC7e/Us=")</f>
        <v>#VALUE!</v>
      </c>
      <c r="BY16" t="e">
        <f>AND('Application, video'!E41,"AAAAAC7e/Uw=")</f>
        <v>#VALUE!</v>
      </c>
      <c r="BZ16" t="e">
        <f>AND('Application, video'!F41,"AAAAAC7e/U0=")</f>
        <v>#VALUE!</v>
      </c>
      <c r="CA16" t="e">
        <f>AND('Application, video'!G41,"AAAAAC7e/U4=")</f>
        <v>#VALUE!</v>
      </c>
      <c r="CB16" t="e">
        <f>AND('Application, video'!H41,"AAAAAC7e/U8=")</f>
        <v>#VALUE!</v>
      </c>
      <c r="CC16" t="e">
        <f>AND('Application, video'!I41,"AAAAAC7e/VA=")</f>
        <v>#VALUE!</v>
      </c>
      <c r="CD16" t="e">
        <f>AND('Application, video'!J41,"AAAAAC7e/VE=")</f>
        <v>#VALUE!</v>
      </c>
      <c r="CE16" t="e">
        <f>AND('Application, video'!K41,"AAAAAC7e/VI=")</f>
        <v>#VALUE!</v>
      </c>
      <c r="CF16" t="e">
        <f>AND('Application, video'!L41,"AAAAAC7e/VM=")</f>
        <v>#VALUE!</v>
      </c>
      <c r="CG16" t="e">
        <f>AND('Application, video'!M41,"AAAAAC7e/VQ=")</f>
        <v>#VALUE!</v>
      </c>
      <c r="CH16" t="e">
        <f>AND('Application, video'!N41,"AAAAAC7e/VU=")</f>
        <v>#VALUE!</v>
      </c>
      <c r="CI16">
        <f>IF('Application, video'!42:42,"AAAAAC7e/VY=",0)</f>
        <v>0</v>
      </c>
      <c r="CJ16" t="e">
        <f>AND('Application, video'!A42,"AAAAAC7e/Vc=")</f>
        <v>#VALUE!</v>
      </c>
      <c r="CK16" t="e">
        <f>AND('Application, video'!B42,"AAAAAC7e/Vg=")</f>
        <v>#VALUE!</v>
      </c>
      <c r="CL16" t="e">
        <f>AND('Application, video'!C42,"AAAAAC7e/Vk=")</f>
        <v>#VALUE!</v>
      </c>
      <c r="CM16" t="e">
        <f>AND('Application, video'!D42,"AAAAAC7e/Vo=")</f>
        <v>#VALUE!</v>
      </c>
      <c r="CN16" t="e">
        <f>AND('Application, video'!E42,"AAAAAC7e/Vs=")</f>
        <v>#VALUE!</v>
      </c>
      <c r="CO16" t="e">
        <f>AND('Application, video'!F42,"AAAAAC7e/Vw=")</f>
        <v>#VALUE!</v>
      </c>
      <c r="CP16" t="e">
        <f>AND('Application, video'!G42,"AAAAAC7e/V0=")</f>
        <v>#VALUE!</v>
      </c>
      <c r="CQ16" t="e">
        <f>AND('Application, video'!H42,"AAAAAC7e/V4=")</f>
        <v>#VALUE!</v>
      </c>
      <c r="CR16" t="e">
        <f>AND('Application, video'!I42,"AAAAAC7e/V8=")</f>
        <v>#VALUE!</v>
      </c>
      <c r="CS16" t="e">
        <f>AND('Application, video'!J42,"AAAAAC7e/WA=")</f>
        <v>#VALUE!</v>
      </c>
      <c r="CT16" t="e">
        <f>AND('Application, video'!K42,"AAAAAC7e/WE=")</f>
        <v>#VALUE!</v>
      </c>
      <c r="CU16" t="e">
        <f>AND('Application, video'!L42,"AAAAAC7e/WI=")</f>
        <v>#VALUE!</v>
      </c>
      <c r="CV16" t="e">
        <f>AND('Application, video'!M42,"AAAAAC7e/WM=")</f>
        <v>#VALUE!</v>
      </c>
      <c r="CW16" t="e">
        <f>AND('Application, video'!N42,"AAAAAC7e/WQ=")</f>
        <v>#VALUE!</v>
      </c>
      <c r="CX16">
        <f>IF('Application, video'!43:43,"AAAAAC7e/WU=",0)</f>
        <v>0</v>
      </c>
      <c r="CY16" t="e">
        <f>AND('Application, video'!A43,"AAAAAC7e/WY=")</f>
        <v>#VALUE!</v>
      </c>
      <c r="CZ16" t="e">
        <f>AND('Application, video'!B43,"AAAAAC7e/Wc=")</f>
        <v>#VALUE!</v>
      </c>
      <c r="DA16" t="e">
        <f>AND('Application, video'!C43,"AAAAAC7e/Wg=")</f>
        <v>#VALUE!</v>
      </c>
      <c r="DB16" t="e">
        <f>AND('Application, video'!D43,"AAAAAC7e/Wk=")</f>
        <v>#VALUE!</v>
      </c>
      <c r="DC16" t="e">
        <f>AND('Application, video'!E43,"AAAAAC7e/Wo=")</f>
        <v>#VALUE!</v>
      </c>
      <c r="DD16" t="e">
        <f>AND('Application, video'!F43,"AAAAAC7e/Ws=")</f>
        <v>#VALUE!</v>
      </c>
      <c r="DE16" t="e">
        <f>AND('Application, video'!G43,"AAAAAC7e/Ww=")</f>
        <v>#VALUE!</v>
      </c>
      <c r="DF16" t="e">
        <f>AND('Application, video'!H43,"AAAAAC7e/W0=")</f>
        <v>#VALUE!</v>
      </c>
      <c r="DG16" t="e">
        <f>AND('Application, video'!I43,"AAAAAC7e/W4=")</f>
        <v>#VALUE!</v>
      </c>
      <c r="DH16" t="e">
        <f>AND('Application, video'!J43,"AAAAAC7e/W8=")</f>
        <v>#VALUE!</v>
      </c>
      <c r="DI16" t="e">
        <f>AND('Application, video'!K43,"AAAAAC7e/XA=")</f>
        <v>#VALUE!</v>
      </c>
      <c r="DJ16" t="e">
        <f>AND('Application, video'!L43,"AAAAAC7e/XE=")</f>
        <v>#VALUE!</v>
      </c>
      <c r="DK16" t="e">
        <f>AND('Application, video'!M43,"AAAAAC7e/XI=")</f>
        <v>#VALUE!</v>
      </c>
      <c r="DL16" t="e">
        <f>AND('Application, video'!N43,"AAAAAC7e/XM=")</f>
        <v>#VALUE!</v>
      </c>
      <c r="DM16">
        <f>IF('Application, video'!44:44,"AAAAAC7e/XQ=",0)</f>
        <v>0</v>
      </c>
      <c r="DN16" t="e">
        <f>AND('Application, video'!A44,"AAAAAC7e/XU=")</f>
        <v>#VALUE!</v>
      </c>
      <c r="DO16" t="e">
        <f>AND('Application, video'!B44,"AAAAAC7e/XY=")</f>
        <v>#VALUE!</v>
      </c>
      <c r="DP16" t="e">
        <f>AND('Application, video'!C44,"AAAAAC7e/Xc=")</f>
        <v>#VALUE!</v>
      </c>
      <c r="DQ16" t="e">
        <f>AND('Application, video'!D44,"AAAAAC7e/Xg=")</f>
        <v>#VALUE!</v>
      </c>
      <c r="DR16" t="e">
        <f>AND('Application, video'!E44,"AAAAAC7e/Xk=")</f>
        <v>#VALUE!</v>
      </c>
      <c r="DS16" t="e">
        <f>AND('Application, video'!F44,"AAAAAC7e/Xo=")</f>
        <v>#VALUE!</v>
      </c>
      <c r="DT16" t="e">
        <f>AND('Application, video'!G44,"AAAAAC7e/Xs=")</f>
        <v>#VALUE!</v>
      </c>
      <c r="DU16" t="e">
        <f>AND('Application, video'!H44,"AAAAAC7e/Xw=")</f>
        <v>#VALUE!</v>
      </c>
      <c r="DV16" t="e">
        <f>AND('Application, video'!I44,"AAAAAC7e/X0=")</f>
        <v>#VALUE!</v>
      </c>
      <c r="DW16" t="e">
        <f>AND('Application, video'!J44,"AAAAAC7e/X4=")</f>
        <v>#VALUE!</v>
      </c>
      <c r="DX16" t="e">
        <f>AND('Application, video'!K44,"AAAAAC7e/X8=")</f>
        <v>#VALUE!</v>
      </c>
      <c r="DY16" t="e">
        <f>AND('Application, video'!L44,"AAAAAC7e/YA=")</f>
        <v>#VALUE!</v>
      </c>
      <c r="DZ16" t="e">
        <f>AND('Application, video'!M44,"AAAAAC7e/YE=")</f>
        <v>#VALUE!</v>
      </c>
      <c r="EA16" t="e">
        <f>AND('Application, video'!N44,"AAAAAC7e/YI=")</f>
        <v>#VALUE!</v>
      </c>
      <c r="EB16">
        <f>IF('Application, video'!45:45,"AAAAAC7e/YM=",0)</f>
        <v>0</v>
      </c>
      <c r="EC16" t="e">
        <f>AND('Application, video'!A45,"AAAAAC7e/YQ=")</f>
        <v>#VALUE!</v>
      </c>
      <c r="ED16" t="e">
        <f>AND('Application, video'!B45,"AAAAAC7e/YU=")</f>
        <v>#VALUE!</v>
      </c>
      <c r="EE16" t="e">
        <f>AND('Application, video'!C45,"AAAAAC7e/YY=")</f>
        <v>#VALUE!</v>
      </c>
      <c r="EF16" t="e">
        <f>AND('Application, video'!D45,"AAAAAC7e/Yc=")</f>
        <v>#VALUE!</v>
      </c>
      <c r="EG16" t="e">
        <f>AND('Application, video'!E45,"AAAAAC7e/Yg=")</f>
        <v>#VALUE!</v>
      </c>
      <c r="EH16" t="e">
        <f>AND('Application, video'!F45,"AAAAAC7e/Yk=")</f>
        <v>#VALUE!</v>
      </c>
      <c r="EI16" t="e">
        <f>AND('Application, video'!G45,"AAAAAC7e/Yo=")</f>
        <v>#VALUE!</v>
      </c>
      <c r="EJ16" t="e">
        <f>AND('Application, video'!H45,"AAAAAC7e/Ys=")</f>
        <v>#VALUE!</v>
      </c>
      <c r="EK16" t="e">
        <f>AND('Application, video'!I45,"AAAAAC7e/Yw=")</f>
        <v>#VALUE!</v>
      </c>
      <c r="EL16" t="e">
        <f>AND('Application, video'!J45,"AAAAAC7e/Y0=")</f>
        <v>#VALUE!</v>
      </c>
      <c r="EM16" t="e">
        <f>AND('Application, video'!K45,"AAAAAC7e/Y4=")</f>
        <v>#VALUE!</v>
      </c>
      <c r="EN16" t="e">
        <f>AND('Application, video'!L45,"AAAAAC7e/Y8=")</f>
        <v>#VALUE!</v>
      </c>
      <c r="EO16" t="e">
        <f>AND('Application, video'!M45,"AAAAAC7e/ZA=")</f>
        <v>#VALUE!</v>
      </c>
      <c r="EP16" t="e">
        <f>AND('Application, video'!N45,"AAAAAC7e/ZE=")</f>
        <v>#VALUE!</v>
      </c>
      <c r="EQ16">
        <f>IF('Application, video'!46:46,"AAAAAC7e/ZI=",0)</f>
        <v>0</v>
      </c>
      <c r="ER16" t="e">
        <f>AND('Application, video'!A46,"AAAAAC7e/ZM=")</f>
        <v>#VALUE!</v>
      </c>
      <c r="ES16" t="e">
        <f>AND('Application, video'!B46,"AAAAAC7e/ZQ=")</f>
        <v>#VALUE!</v>
      </c>
      <c r="ET16" t="e">
        <f>AND('Application, video'!C46,"AAAAAC7e/ZU=")</f>
        <v>#VALUE!</v>
      </c>
      <c r="EU16" t="e">
        <f>AND('Application, video'!D46,"AAAAAC7e/ZY=")</f>
        <v>#VALUE!</v>
      </c>
      <c r="EV16" t="e">
        <f>AND('Application, video'!E46,"AAAAAC7e/Zc=")</f>
        <v>#VALUE!</v>
      </c>
      <c r="EW16" t="e">
        <f>AND('Application, video'!F46,"AAAAAC7e/Zg=")</f>
        <v>#VALUE!</v>
      </c>
      <c r="EX16" t="e">
        <f>AND('Application, video'!G46,"AAAAAC7e/Zk=")</f>
        <v>#VALUE!</v>
      </c>
      <c r="EY16" t="e">
        <f>AND('Application, video'!H46,"AAAAAC7e/Zo=")</f>
        <v>#VALUE!</v>
      </c>
      <c r="EZ16" t="e">
        <f>AND('Application, video'!I46,"AAAAAC7e/Zs=")</f>
        <v>#VALUE!</v>
      </c>
      <c r="FA16" t="e">
        <f>AND('Application, video'!J46,"AAAAAC7e/Zw=")</f>
        <v>#VALUE!</v>
      </c>
      <c r="FB16" t="e">
        <f>AND('Application, video'!K46,"AAAAAC7e/Z0=")</f>
        <v>#VALUE!</v>
      </c>
      <c r="FC16" t="e">
        <f>AND('Application, video'!L46,"AAAAAC7e/Z4=")</f>
        <v>#VALUE!</v>
      </c>
      <c r="FD16" t="e">
        <f>AND('Application, video'!M46,"AAAAAC7e/Z8=")</f>
        <v>#VALUE!</v>
      </c>
      <c r="FE16" t="e">
        <f>AND('Application, video'!N46,"AAAAAC7e/aA=")</f>
        <v>#VALUE!</v>
      </c>
      <c r="FF16">
        <f>IF('Application, video'!47:47,"AAAAAC7e/aE=",0)</f>
        <v>0</v>
      </c>
      <c r="FG16" t="e">
        <f>AND('Application, video'!A47,"AAAAAC7e/aI=")</f>
        <v>#VALUE!</v>
      </c>
      <c r="FH16" t="e">
        <f>AND('Application, video'!B47,"AAAAAC7e/aM=")</f>
        <v>#VALUE!</v>
      </c>
      <c r="FI16" t="e">
        <f>AND('Application, video'!C47,"AAAAAC7e/aQ=")</f>
        <v>#VALUE!</v>
      </c>
      <c r="FJ16" t="e">
        <f>AND('Application, video'!D47,"AAAAAC7e/aU=")</f>
        <v>#VALUE!</v>
      </c>
      <c r="FK16" t="e">
        <f>AND('Application, video'!E47,"AAAAAC7e/aY=")</f>
        <v>#VALUE!</v>
      </c>
      <c r="FL16" t="e">
        <f>AND('Application, video'!F47,"AAAAAC7e/ac=")</f>
        <v>#VALUE!</v>
      </c>
      <c r="FM16" t="e">
        <f>AND('Application, video'!G47,"AAAAAC7e/ag=")</f>
        <v>#VALUE!</v>
      </c>
      <c r="FN16" t="e">
        <f>AND('Application, video'!H47,"AAAAAC7e/ak=")</f>
        <v>#VALUE!</v>
      </c>
      <c r="FO16" t="e">
        <f>AND('Application, video'!I47,"AAAAAC7e/ao=")</f>
        <v>#VALUE!</v>
      </c>
      <c r="FP16" t="e">
        <f>AND('Application, video'!J47,"AAAAAC7e/as=")</f>
        <v>#VALUE!</v>
      </c>
      <c r="FQ16" t="e">
        <f>AND('Application, video'!K47,"AAAAAC7e/aw=")</f>
        <v>#VALUE!</v>
      </c>
      <c r="FR16" t="e">
        <f>AND('Application, video'!L47,"AAAAAC7e/a0=")</f>
        <v>#VALUE!</v>
      </c>
      <c r="FS16" t="e">
        <f>AND('Application, video'!M47,"AAAAAC7e/a4=")</f>
        <v>#VALUE!</v>
      </c>
      <c r="FT16" t="e">
        <f>AND('Application, video'!N47,"AAAAAC7e/a8=")</f>
        <v>#VALUE!</v>
      </c>
      <c r="FU16">
        <f>IF('Application, video'!48:48,"AAAAAC7e/bA=",0)</f>
        <v>0</v>
      </c>
      <c r="FV16" t="e">
        <f>AND('Application, video'!A48,"AAAAAC7e/bE=")</f>
        <v>#VALUE!</v>
      </c>
      <c r="FW16" t="e">
        <f>AND('Application, video'!B48,"AAAAAC7e/bI=")</f>
        <v>#VALUE!</v>
      </c>
      <c r="FX16" t="e">
        <f>AND('Application, video'!C48,"AAAAAC7e/bM=")</f>
        <v>#VALUE!</v>
      </c>
      <c r="FY16" t="e">
        <f>AND('Application, video'!D48,"AAAAAC7e/bQ=")</f>
        <v>#VALUE!</v>
      </c>
      <c r="FZ16" t="e">
        <f>AND('Application, video'!E48,"AAAAAC7e/bU=")</f>
        <v>#VALUE!</v>
      </c>
      <c r="GA16" t="e">
        <f>AND('Application, video'!F48,"AAAAAC7e/bY=")</f>
        <v>#VALUE!</v>
      </c>
      <c r="GB16" t="e">
        <f>AND('Application, video'!G48,"AAAAAC7e/bc=")</f>
        <v>#VALUE!</v>
      </c>
      <c r="GC16" t="e">
        <f>AND('Application, video'!H48,"AAAAAC7e/bg=")</f>
        <v>#VALUE!</v>
      </c>
      <c r="GD16" t="e">
        <f>AND('Application, video'!I48,"AAAAAC7e/bk=")</f>
        <v>#VALUE!</v>
      </c>
      <c r="GE16" t="e">
        <f>AND('Application, video'!J48,"AAAAAC7e/bo=")</f>
        <v>#VALUE!</v>
      </c>
      <c r="GF16" t="e">
        <f>AND('Application, video'!K48,"AAAAAC7e/bs=")</f>
        <v>#VALUE!</v>
      </c>
      <c r="GG16" t="e">
        <f>AND('Application, video'!L48,"AAAAAC7e/bw=")</f>
        <v>#VALUE!</v>
      </c>
      <c r="GH16" t="e">
        <f>AND('Application, video'!M48,"AAAAAC7e/b0=")</f>
        <v>#VALUE!</v>
      </c>
      <c r="GI16" t="e">
        <f>AND('Application, video'!N48,"AAAAAC7e/b4=")</f>
        <v>#VALUE!</v>
      </c>
      <c r="GJ16">
        <f>IF('Application, video'!49:49,"AAAAAC7e/b8=",0)</f>
        <v>0</v>
      </c>
      <c r="GK16" t="e">
        <f>AND('Application, video'!A49,"AAAAAC7e/cA=")</f>
        <v>#VALUE!</v>
      </c>
      <c r="GL16" t="e">
        <f>AND('Application, video'!B49,"AAAAAC7e/cE=")</f>
        <v>#VALUE!</v>
      </c>
      <c r="GM16" t="e">
        <f>AND('Application, video'!C49,"AAAAAC7e/cI=")</f>
        <v>#VALUE!</v>
      </c>
      <c r="GN16" t="e">
        <f>AND('Application, video'!D49,"AAAAAC7e/cM=")</f>
        <v>#VALUE!</v>
      </c>
      <c r="GO16" t="e">
        <f>AND('Application, video'!E49,"AAAAAC7e/cQ=")</f>
        <v>#VALUE!</v>
      </c>
      <c r="GP16" t="e">
        <f>AND('Application, video'!F49,"AAAAAC7e/cU=")</f>
        <v>#VALUE!</v>
      </c>
      <c r="GQ16" t="e">
        <f>AND('Application, video'!G49,"AAAAAC7e/cY=")</f>
        <v>#VALUE!</v>
      </c>
      <c r="GR16" t="e">
        <f>AND('Application, video'!H49,"AAAAAC7e/cc=")</f>
        <v>#VALUE!</v>
      </c>
      <c r="GS16" t="e">
        <f>AND('Application, video'!I49,"AAAAAC7e/cg=")</f>
        <v>#VALUE!</v>
      </c>
      <c r="GT16" t="e">
        <f>AND('Application, video'!J49,"AAAAAC7e/ck=")</f>
        <v>#VALUE!</v>
      </c>
      <c r="GU16" t="e">
        <f>AND('Application, video'!K49,"AAAAAC7e/co=")</f>
        <v>#VALUE!</v>
      </c>
      <c r="GV16" t="e">
        <f>AND('Application, video'!L49,"AAAAAC7e/cs=")</f>
        <v>#VALUE!</v>
      </c>
      <c r="GW16" t="e">
        <f>AND('Application, video'!M49,"AAAAAC7e/cw=")</f>
        <v>#VALUE!</v>
      </c>
      <c r="GX16" t="e">
        <f>AND('Application, video'!N49,"AAAAAC7e/c0=")</f>
        <v>#VALUE!</v>
      </c>
      <c r="GY16">
        <f>IF('Application, video'!50:50,"AAAAAC7e/c4=",0)</f>
        <v>0</v>
      </c>
      <c r="GZ16" t="e">
        <f>AND('Application, video'!A50,"AAAAAC7e/c8=")</f>
        <v>#VALUE!</v>
      </c>
      <c r="HA16" t="e">
        <f>AND('Application, video'!B50,"AAAAAC7e/dA=")</f>
        <v>#VALUE!</v>
      </c>
      <c r="HB16" t="e">
        <f>AND('Application, video'!C50,"AAAAAC7e/dE=")</f>
        <v>#VALUE!</v>
      </c>
      <c r="HC16" t="e">
        <f>AND('Application, video'!D50,"AAAAAC7e/dI=")</f>
        <v>#VALUE!</v>
      </c>
      <c r="HD16" t="e">
        <f>AND('Application, video'!E50,"AAAAAC7e/dM=")</f>
        <v>#VALUE!</v>
      </c>
      <c r="HE16" t="e">
        <f>AND('Application, video'!F50,"AAAAAC7e/dQ=")</f>
        <v>#VALUE!</v>
      </c>
      <c r="HF16" t="e">
        <f>AND('Application, video'!G50,"AAAAAC7e/dU=")</f>
        <v>#VALUE!</v>
      </c>
      <c r="HG16" t="e">
        <f>AND('Application, video'!H50,"AAAAAC7e/dY=")</f>
        <v>#VALUE!</v>
      </c>
      <c r="HH16" t="e">
        <f>AND('Application, video'!I50,"AAAAAC7e/dc=")</f>
        <v>#VALUE!</v>
      </c>
      <c r="HI16" t="e">
        <f>AND('Application, video'!J50,"AAAAAC7e/dg=")</f>
        <v>#VALUE!</v>
      </c>
      <c r="HJ16" t="e">
        <f>AND('Application, video'!K50,"AAAAAC7e/dk=")</f>
        <v>#VALUE!</v>
      </c>
      <c r="HK16" t="e">
        <f>AND('Application, video'!L50,"AAAAAC7e/do=")</f>
        <v>#VALUE!</v>
      </c>
      <c r="HL16" t="e">
        <f>AND('Application, video'!M50,"AAAAAC7e/ds=")</f>
        <v>#VALUE!</v>
      </c>
      <c r="HM16" t="e">
        <f>AND('Application, video'!N50,"AAAAAC7e/dw=")</f>
        <v>#VALUE!</v>
      </c>
      <c r="HN16">
        <f>IF('Application, video'!51:51,"AAAAAC7e/d0=",0)</f>
        <v>0</v>
      </c>
      <c r="HO16" t="e">
        <f>AND('Application, video'!A51,"AAAAAC7e/d4=")</f>
        <v>#VALUE!</v>
      </c>
      <c r="HP16" t="e">
        <f>AND('Application, video'!B51,"AAAAAC7e/d8=")</f>
        <v>#VALUE!</v>
      </c>
      <c r="HQ16" t="e">
        <f>AND('Application, video'!C51,"AAAAAC7e/eA=")</f>
        <v>#VALUE!</v>
      </c>
      <c r="HR16" t="e">
        <f>AND('Application, video'!D51,"AAAAAC7e/eE=")</f>
        <v>#VALUE!</v>
      </c>
      <c r="HS16" t="e">
        <f>AND('Application, video'!E51,"AAAAAC7e/eI=")</f>
        <v>#VALUE!</v>
      </c>
      <c r="HT16" t="e">
        <f>AND('Application, video'!F51,"AAAAAC7e/eM=")</f>
        <v>#VALUE!</v>
      </c>
      <c r="HU16" t="e">
        <f>AND('Application, video'!G51,"AAAAAC7e/eQ=")</f>
        <v>#VALUE!</v>
      </c>
      <c r="HV16" t="e">
        <f>AND('Application, video'!H51,"AAAAAC7e/eU=")</f>
        <v>#VALUE!</v>
      </c>
      <c r="HW16" t="e">
        <f>AND('Application, video'!I51,"AAAAAC7e/eY=")</f>
        <v>#VALUE!</v>
      </c>
      <c r="HX16" t="e">
        <f>AND('Application, video'!J51,"AAAAAC7e/ec=")</f>
        <v>#VALUE!</v>
      </c>
      <c r="HY16" t="e">
        <f>AND('Application, video'!K51,"AAAAAC7e/eg=")</f>
        <v>#VALUE!</v>
      </c>
      <c r="HZ16" t="e">
        <f>AND('Application, video'!L51,"AAAAAC7e/ek=")</f>
        <v>#VALUE!</v>
      </c>
      <c r="IA16" t="e">
        <f>AND('Application, video'!M51,"AAAAAC7e/eo=")</f>
        <v>#VALUE!</v>
      </c>
      <c r="IB16" t="e">
        <f>AND('Application, video'!N51,"AAAAAC7e/es=")</f>
        <v>#VALUE!</v>
      </c>
      <c r="IC16">
        <f>IF('Application, video'!52:52,"AAAAAC7e/ew=",0)</f>
        <v>0</v>
      </c>
      <c r="ID16" t="e">
        <f>AND('Application, video'!A52,"AAAAAC7e/e0=")</f>
        <v>#VALUE!</v>
      </c>
      <c r="IE16" t="e">
        <f>AND('Application, video'!B52,"AAAAAC7e/e4=")</f>
        <v>#VALUE!</v>
      </c>
      <c r="IF16" t="e">
        <f>AND('Application, video'!C52,"AAAAAC7e/e8=")</f>
        <v>#VALUE!</v>
      </c>
      <c r="IG16" t="e">
        <f>AND('Application, video'!D52,"AAAAAC7e/fA=")</f>
        <v>#VALUE!</v>
      </c>
      <c r="IH16" t="e">
        <f>AND('Application, video'!E52,"AAAAAC7e/fE=")</f>
        <v>#VALUE!</v>
      </c>
      <c r="II16" t="e">
        <f>AND('Application, video'!F52,"AAAAAC7e/fI=")</f>
        <v>#VALUE!</v>
      </c>
      <c r="IJ16" t="e">
        <f>AND('Application, video'!G52,"AAAAAC7e/fM=")</f>
        <v>#VALUE!</v>
      </c>
      <c r="IK16" t="e">
        <f>AND('Application, video'!H52,"AAAAAC7e/fQ=")</f>
        <v>#VALUE!</v>
      </c>
      <c r="IL16" t="e">
        <f>AND('Application, video'!I52,"AAAAAC7e/fU=")</f>
        <v>#VALUE!</v>
      </c>
      <c r="IM16" t="e">
        <f>AND('Application, video'!J52,"AAAAAC7e/fY=")</f>
        <v>#VALUE!</v>
      </c>
      <c r="IN16" t="e">
        <f>AND('Application, video'!K52,"AAAAAC7e/fc=")</f>
        <v>#VALUE!</v>
      </c>
      <c r="IO16" t="e">
        <f>AND('Application, video'!L52,"AAAAAC7e/fg=")</f>
        <v>#VALUE!</v>
      </c>
      <c r="IP16" t="e">
        <f>AND('Application, video'!M52,"AAAAAC7e/fk=")</f>
        <v>#VALUE!</v>
      </c>
      <c r="IQ16" t="e">
        <f>AND('Application, video'!N52,"AAAAAC7e/fo=")</f>
        <v>#VALUE!</v>
      </c>
      <c r="IR16">
        <f>IF('Application, video'!53:53,"AAAAAC7e/fs=",0)</f>
        <v>0</v>
      </c>
      <c r="IS16" t="e">
        <f>AND('Application, video'!A53,"AAAAAC7e/fw=")</f>
        <v>#VALUE!</v>
      </c>
      <c r="IT16" t="e">
        <f>AND('Application, video'!B53,"AAAAAC7e/f0=")</f>
        <v>#VALUE!</v>
      </c>
      <c r="IU16" t="e">
        <f>AND('Application, video'!C53,"AAAAAC7e/f4=")</f>
        <v>#VALUE!</v>
      </c>
      <c r="IV16" t="e">
        <f>AND('Application, video'!D53,"AAAAAC7e/f8=")</f>
        <v>#VALUE!</v>
      </c>
    </row>
    <row r="17" spans="1:256" ht="12.75">
      <c r="A17" t="e">
        <f>AND('Application, video'!E53,"AAAAAH5+MwA=")</f>
        <v>#VALUE!</v>
      </c>
      <c r="B17" t="e">
        <f>AND('Application, video'!F53,"AAAAAH5+MwE=")</f>
        <v>#VALUE!</v>
      </c>
      <c r="C17" t="e">
        <f>AND('Application, video'!G53,"AAAAAH5+MwI=")</f>
        <v>#VALUE!</v>
      </c>
      <c r="D17" t="e">
        <f>AND('Application, video'!H53,"AAAAAH5+MwM=")</f>
        <v>#VALUE!</v>
      </c>
      <c r="E17" t="e">
        <f>AND('Application, video'!I53,"AAAAAH5+MwQ=")</f>
        <v>#VALUE!</v>
      </c>
      <c r="F17" t="e">
        <f>AND('Application, video'!J53,"AAAAAH5+MwU=")</f>
        <v>#VALUE!</v>
      </c>
      <c r="G17" t="e">
        <f>AND('Application, video'!K53,"AAAAAH5+MwY=")</f>
        <v>#VALUE!</v>
      </c>
      <c r="H17" t="e">
        <f>AND('Application, video'!L53,"AAAAAH5+Mwc=")</f>
        <v>#VALUE!</v>
      </c>
      <c r="I17" t="e">
        <f>AND('Application, video'!M53,"AAAAAH5+Mwg=")</f>
        <v>#VALUE!</v>
      </c>
      <c r="J17" t="e">
        <f>AND('Application, video'!N53,"AAAAAH5+Mwk=")</f>
        <v>#VALUE!</v>
      </c>
      <c r="K17">
        <f>IF('Application, video'!54:54,"AAAAAH5+Mwo=",0)</f>
        <v>0</v>
      </c>
      <c r="L17" t="e">
        <f>AND('Application, video'!A54,"AAAAAH5+Mws=")</f>
        <v>#VALUE!</v>
      </c>
      <c r="M17" t="e">
        <f>AND('Application, video'!B54,"AAAAAH5+Mww=")</f>
        <v>#VALUE!</v>
      </c>
      <c r="N17" t="e">
        <f>AND('Application, video'!C54,"AAAAAH5+Mw0=")</f>
        <v>#VALUE!</v>
      </c>
      <c r="O17" t="e">
        <f>AND('Application, video'!D54,"AAAAAH5+Mw4=")</f>
        <v>#VALUE!</v>
      </c>
      <c r="P17" t="e">
        <f>AND('Application, video'!E54,"AAAAAH5+Mw8=")</f>
        <v>#VALUE!</v>
      </c>
      <c r="Q17" t="e">
        <f>AND('Application, video'!F54,"AAAAAH5+MxA=")</f>
        <v>#VALUE!</v>
      </c>
      <c r="R17" t="e">
        <f>AND('Application, video'!G54,"AAAAAH5+MxE=")</f>
        <v>#VALUE!</v>
      </c>
      <c r="S17" t="e">
        <f>AND('Application, video'!H54,"AAAAAH5+MxI=")</f>
        <v>#VALUE!</v>
      </c>
      <c r="T17" t="e">
        <f>AND('Application, video'!I54,"AAAAAH5+MxM=")</f>
        <v>#VALUE!</v>
      </c>
      <c r="U17" t="e">
        <f>AND('Application, video'!J54,"AAAAAH5+MxQ=")</f>
        <v>#VALUE!</v>
      </c>
      <c r="V17" t="e">
        <f>AND('Application, video'!K54,"AAAAAH5+MxU=")</f>
        <v>#VALUE!</v>
      </c>
      <c r="W17" t="e">
        <f>AND('Application, video'!L54,"AAAAAH5+MxY=")</f>
        <v>#VALUE!</v>
      </c>
      <c r="X17" t="e">
        <f>AND('Application, video'!M54,"AAAAAH5+Mxc=")</f>
        <v>#VALUE!</v>
      </c>
      <c r="Y17" t="e">
        <f>AND('Application, video'!N54,"AAAAAH5+Mxg=")</f>
        <v>#VALUE!</v>
      </c>
      <c r="Z17">
        <f>IF('Application, video'!55:55,"AAAAAH5+Mxk=",0)</f>
        <v>0</v>
      </c>
      <c r="AA17" t="e">
        <f>AND('Application, video'!A55,"AAAAAH5+Mxo=")</f>
        <v>#VALUE!</v>
      </c>
      <c r="AB17" t="e">
        <f>AND('Application, video'!B55,"AAAAAH5+Mxs=")</f>
        <v>#VALUE!</v>
      </c>
      <c r="AC17" t="e">
        <f>AND('Application, video'!C55,"AAAAAH5+Mxw=")</f>
        <v>#VALUE!</v>
      </c>
      <c r="AD17" t="e">
        <f>AND('Application, video'!D55,"AAAAAH5+Mx0=")</f>
        <v>#VALUE!</v>
      </c>
      <c r="AE17" t="e">
        <f>AND('Application, video'!E55,"AAAAAH5+Mx4=")</f>
        <v>#VALUE!</v>
      </c>
      <c r="AF17" t="e">
        <f>AND('Application, video'!F55,"AAAAAH5+Mx8=")</f>
        <v>#VALUE!</v>
      </c>
      <c r="AG17" t="e">
        <f>AND('Application, video'!G55,"AAAAAH5+MyA=")</f>
        <v>#VALUE!</v>
      </c>
      <c r="AH17" t="e">
        <f>AND('Application, video'!H55,"AAAAAH5+MyE=")</f>
        <v>#VALUE!</v>
      </c>
      <c r="AI17" t="e">
        <f>AND('Application, video'!I55,"AAAAAH5+MyI=")</f>
        <v>#VALUE!</v>
      </c>
      <c r="AJ17" t="e">
        <f>AND('Application, video'!J55,"AAAAAH5+MyM=")</f>
        <v>#VALUE!</v>
      </c>
      <c r="AK17" t="e">
        <f>AND('Application, video'!K55,"AAAAAH5+MyQ=")</f>
        <v>#VALUE!</v>
      </c>
      <c r="AL17" t="e">
        <f>AND('Application, video'!L55,"AAAAAH5+MyU=")</f>
        <v>#VALUE!</v>
      </c>
      <c r="AM17" t="e">
        <f>AND('Application, video'!M55,"AAAAAH5+MyY=")</f>
        <v>#VALUE!</v>
      </c>
      <c r="AN17" t="e">
        <f>AND('Application, video'!N55,"AAAAAH5+Myc=")</f>
        <v>#VALUE!</v>
      </c>
      <c r="AO17">
        <f>IF('Application, video'!56:56,"AAAAAH5+Myg=",0)</f>
        <v>0</v>
      </c>
      <c r="AP17" t="e">
        <f>AND('Application, video'!A56,"AAAAAH5+Myk=")</f>
        <v>#VALUE!</v>
      </c>
      <c r="AQ17" t="e">
        <f>AND('Application, video'!B56,"AAAAAH5+Myo=")</f>
        <v>#VALUE!</v>
      </c>
      <c r="AR17" t="e">
        <f>AND('Application, video'!C56,"AAAAAH5+Mys=")</f>
        <v>#VALUE!</v>
      </c>
      <c r="AS17" t="e">
        <f>AND('Application, video'!D56,"AAAAAH5+Myw=")</f>
        <v>#VALUE!</v>
      </c>
      <c r="AT17" t="e">
        <f>AND('Application, video'!E56,"AAAAAH5+My0=")</f>
        <v>#VALUE!</v>
      </c>
      <c r="AU17" t="e">
        <f>AND('Application, video'!F56,"AAAAAH5+My4=")</f>
        <v>#VALUE!</v>
      </c>
      <c r="AV17" t="e">
        <f>AND('Application, video'!G56,"AAAAAH5+My8=")</f>
        <v>#VALUE!</v>
      </c>
      <c r="AW17" t="e">
        <f>AND('Application, video'!H56,"AAAAAH5+MzA=")</f>
        <v>#VALUE!</v>
      </c>
      <c r="AX17" t="e">
        <f>AND('Application, video'!I56,"AAAAAH5+MzE=")</f>
        <v>#VALUE!</v>
      </c>
      <c r="AY17" t="e">
        <f>AND('Application, video'!J56,"AAAAAH5+MzI=")</f>
        <v>#VALUE!</v>
      </c>
      <c r="AZ17" t="e">
        <f>AND('Application, video'!K56,"AAAAAH5+MzM=")</f>
        <v>#VALUE!</v>
      </c>
      <c r="BA17" t="e">
        <f>AND('Application, video'!L56,"AAAAAH5+MzQ=")</f>
        <v>#VALUE!</v>
      </c>
      <c r="BB17" t="e">
        <f>AND('Application, video'!M56,"AAAAAH5+MzU=")</f>
        <v>#VALUE!</v>
      </c>
      <c r="BC17" t="e">
        <f>AND('Application, video'!N56,"AAAAAH5+MzY=")</f>
        <v>#VALUE!</v>
      </c>
      <c r="BD17">
        <f>IF('Application, video'!57:57,"AAAAAH5+Mzc=",0)</f>
        <v>0</v>
      </c>
      <c r="BE17" t="e">
        <f>AND('Application, video'!A57,"AAAAAH5+Mzg=")</f>
        <v>#VALUE!</v>
      </c>
      <c r="BF17" t="e">
        <f>AND('Application, video'!B57,"AAAAAH5+Mzk=")</f>
        <v>#VALUE!</v>
      </c>
      <c r="BG17" t="e">
        <f>AND('Application, video'!C57,"AAAAAH5+Mzo=")</f>
        <v>#VALUE!</v>
      </c>
      <c r="BH17" t="e">
        <f>AND('Application, video'!D57,"AAAAAH5+Mzs=")</f>
        <v>#VALUE!</v>
      </c>
      <c r="BI17" t="e">
        <f>AND('Application, video'!E57,"AAAAAH5+Mzw=")</f>
        <v>#VALUE!</v>
      </c>
      <c r="BJ17" t="e">
        <f>AND('Application, video'!F57,"AAAAAH5+Mz0=")</f>
        <v>#VALUE!</v>
      </c>
      <c r="BK17" t="e">
        <f>AND('Application, video'!G57,"AAAAAH5+Mz4=")</f>
        <v>#VALUE!</v>
      </c>
      <c r="BL17" t="e">
        <f>AND('Application, video'!H57,"AAAAAH5+Mz8=")</f>
        <v>#VALUE!</v>
      </c>
      <c r="BM17" t="e">
        <f>AND('Application, video'!I57,"AAAAAH5+M0A=")</f>
        <v>#VALUE!</v>
      </c>
      <c r="BN17" t="e">
        <f>AND('Application, video'!J57,"AAAAAH5+M0E=")</f>
        <v>#VALUE!</v>
      </c>
      <c r="BO17" t="e">
        <f>AND('Application, video'!K57,"AAAAAH5+M0I=")</f>
        <v>#VALUE!</v>
      </c>
      <c r="BP17" t="e">
        <f>AND('Application, video'!L57,"AAAAAH5+M0M=")</f>
        <v>#VALUE!</v>
      </c>
      <c r="BQ17" t="e">
        <f>AND('Application, video'!M57,"AAAAAH5+M0Q=")</f>
        <v>#VALUE!</v>
      </c>
      <c r="BR17" t="e">
        <f>AND('Application, video'!N57,"AAAAAH5+M0U=")</f>
        <v>#VALUE!</v>
      </c>
      <c r="BS17">
        <f>IF('Application, video'!58:58,"AAAAAH5+M0Y=",0)</f>
        <v>0</v>
      </c>
      <c r="BT17" t="e">
        <f>AND('Application, video'!A58,"AAAAAH5+M0c=")</f>
        <v>#VALUE!</v>
      </c>
      <c r="BU17" t="e">
        <f>AND('Application, video'!B58,"AAAAAH5+M0g=")</f>
        <v>#VALUE!</v>
      </c>
      <c r="BV17" t="e">
        <f>AND('Application, video'!C58,"AAAAAH5+M0k=")</f>
        <v>#VALUE!</v>
      </c>
      <c r="BW17" t="e">
        <f>AND('Application, video'!D58,"AAAAAH5+M0o=")</f>
        <v>#VALUE!</v>
      </c>
      <c r="BX17" t="e">
        <f>AND('Application, video'!E58,"AAAAAH5+M0s=")</f>
        <v>#VALUE!</v>
      </c>
      <c r="BY17" t="e">
        <f>AND('Application, video'!F58,"AAAAAH5+M0w=")</f>
        <v>#VALUE!</v>
      </c>
      <c r="BZ17" t="e">
        <f>AND('Application, video'!G58,"AAAAAH5+M00=")</f>
        <v>#VALUE!</v>
      </c>
      <c r="CA17" t="e">
        <f>AND('Application, video'!H58,"AAAAAH5+M04=")</f>
        <v>#VALUE!</v>
      </c>
      <c r="CB17" t="e">
        <f>AND('Application, video'!I58,"AAAAAH5+M08=")</f>
        <v>#VALUE!</v>
      </c>
      <c r="CC17" t="e">
        <f>AND('Application, video'!J58,"AAAAAH5+M1A=")</f>
        <v>#VALUE!</v>
      </c>
      <c r="CD17" t="e">
        <f>AND('Application, video'!K58,"AAAAAH5+M1E=")</f>
        <v>#VALUE!</v>
      </c>
      <c r="CE17" t="e">
        <f>AND('Application, video'!L58,"AAAAAH5+M1I=")</f>
        <v>#VALUE!</v>
      </c>
      <c r="CF17" t="e">
        <f>AND('Application, video'!M58,"AAAAAH5+M1M=")</f>
        <v>#VALUE!</v>
      </c>
      <c r="CG17" t="e">
        <f>AND('Application, video'!N58,"AAAAAH5+M1Q=")</f>
        <v>#VALUE!</v>
      </c>
      <c r="CH17">
        <f>IF('Application, video'!59:59,"AAAAAH5+M1U=",0)</f>
        <v>0</v>
      </c>
      <c r="CI17" t="e">
        <f>AND('Application, video'!A59,"AAAAAH5+M1Y=")</f>
        <v>#VALUE!</v>
      </c>
      <c r="CJ17" t="e">
        <f>AND('Application, video'!B59,"AAAAAH5+M1c=")</f>
        <v>#VALUE!</v>
      </c>
      <c r="CK17" t="e">
        <f>AND('Application, video'!C59,"AAAAAH5+M1g=")</f>
        <v>#VALUE!</v>
      </c>
      <c r="CL17" t="e">
        <f>AND('Application, video'!D59,"AAAAAH5+M1k=")</f>
        <v>#VALUE!</v>
      </c>
      <c r="CM17" t="e">
        <f>AND('Application, video'!E59,"AAAAAH5+M1o=")</f>
        <v>#VALUE!</v>
      </c>
      <c r="CN17" t="e">
        <f>AND('Application, video'!F59,"AAAAAH5+M1s=")</f>
        <v>#VALUE!</v>
      </c>
      <c r="CO17" t="e">
        <f>AND('Application, video'!G59,"AAAAAH5+M1w=")</f>
        <v>#VALUE!</v>
      </c>
      <c r="CP17" t="e">
        <f>AND('Application, video'!H59,"AAAAAH5+M10=")</f>
        <v>#VALUE!</v>
      </c>
      <c r="CQ17" t="e">
        <f>AND('Application, video'!I59,"AAAAAH5+M14=")</f>
        <v>#VALUE!</v>
      </c>
      <c r="CR17" t="e">
        <f>AND('Application, video'!J59,"AAAAAH5+M18=")</f>
        <v>#VALUE!</v>
      </c>
      <c r="CS17" t="e">
        <f>AND('Application, video'!K59,"AAAAAH5+M2A=")</f>
        <v>#VALUE!</v>
      </c>
      <c r="CT17" t="e">
        <f>AND('Application, video'!L59,"AAAAAH5+M2E=")</f>
        <v>#VALUE!</v>
      </c>
      <c r="CU17" t="e">
        <f>AND('Application, video'!M59,"AAAAAH5+M2I=")</f>
        <v>#VALUE!</v>
      </c>
      <c r="CV17" t="e">
        <f>AND('Application, video'!N59,"AAAAAH5+M2M=")</f>
        <v>#VALUE!</v>
      </c>
      <c r="CW17">
        <f>IF('Application, video'!60:60,"AAAAAH5+M2Q=",0)</f>
        <v>0</v>
      </c>
      <c r="CX17" t="e">
        <f>AND('Application, video'!A60,"AAAAAH5+M2U=")</f>
        <v>#VALUE!</v>
      </c>
      <c r="CY17" t="e">
        <f>AND('Application, video'!B60,"AAAAAH5+M2Y=")</f>
        <v>#VALUE!</v>
      </c>
      <c r="CZ17" t="e">
        <f>AND('Application, video'!C60,"AAAAAH5+M2c=")</f>
        <v>#VALUE!</v>
      </c>
      <c r="DA17" t="e">
        <f>AND('Application, video'!D60,"AAAAAH5+M2g=")</f>
        <v>#VALUE!</v>
      </c>
      <c r="DB17" t="e">
        <f>AND('Application, video'!E60,"AAAAAH5+M2k=")</f>
        <v>#VALUE!</v>
      </c>
      <c r="DC17" t="e">
        <f>AND('Application, video'!F60,"AAAAAH5+M2o=")</f>
        <v>#VALUE!</v>
      </c>
      <c r="DD17" t="e">
        <f>AND('Application, video'!G60,"AAAAAH5+M2s=")</f>
        <v>#VALUE!</v>
      </c>
      <c r="DE17" t="e">
        <f>AND('Application, video'!H60,"AAAAAH5+M2w=")</f>
        <v>#VALUE!</v>
      </c>
      <c r="DF17" t="e">
        <f>AND('Application, video'!I60,"AAAAAH5+M20=")</f>
        <v>#VALUE!</v>
      </c>
      <c r="DG17" t="e">
        <f>AND('Application, video'!J60,"AAAAAH5+M24=")</f>
        <v>#VALUE!</v>
      </c>
      <c r="DH17" t="e">
        <f>AND('Application, video'!K60,"AAAAAH5+M28=")</f>
        <v>#VALUE!</v>
      </c>
      <c r="DI17" t="e">
        <f>AND('Application, video'!L60,"AAAAAH5+M3A=")</f>
        <v>#VALUE!</v>
      </c>
      <c r="DJ17" t="e">
        <f>AND('Application, video'!M60,"AAAAAH5+M3E=")</f>
        <v>#VALUE!</v>
      </c>
      <c r="DK17" t="e">
        <f>AND('Application, video'!N60,"AAAAAH5+M3I=")</f>
        <v>#VALUE!</v>
      </c>
      <c r="DL17">
        <f>IF('Application, video'!61:61,"AAAAAH5+M3M=",0)</f>
        <v>0</v>
      </c>
      <c r="DM17" t="e">
        <f>AND('Application, video'!A61,"AAAAAH5+M3Q=")</f>
        <v>#VALUE!</v>
      </c>
      <c r="DN17" t="e">
        <f>AND('Application, video'!B61,"AAAAAH5+M3U=")</f>
        <v>#VALUE!</v>
      </c>
      <c r="DO17" t="e">
        <f>AND('Application, video'!C61,"AAAAAH5+M3Y=")</f>
        <v>#VALUE!</v>
      </c>
      <c r="DP17" t="e">
        <f>AND('Application, video'!D61,"AAAAAH5+M3c=")</f>
        <v>#VALUE!</v>
      </c>
      <c r="DQ17" t="e">
        <f>AND('Application, video'!E61,"AAAAAH5+M3g=")</f>
        <v>#VALUE!</v>
      </c>
      <c r="DR17" t="e">
        <f>AND('Application, video'!F61,"AAAAAH5+M3k=")</f>
        <v>#VALUE!</v>
      </c>
      <c r="DS17" t="e">
        <f>AND('Application, video'!G61,"AAAAAH5+M3o=")</f>
        <v>#VALUE!</v>
      </c>
      <c r="DT17" t="e">
        <f>AND('Application, video'!H61,"AAAAAH5+M3s=")</f>
        <v>#VALUE!</v>
      </c>
      <c r="DU17" t="e">
        <f>AND('Application, video'!I61,"AAAAAH5+M3w=")</f>
        <v>#VALUE!</v>
      </c>
      <c r="DV17" t="e">
        <f>AND('Application, video'!J61,"AAAAAH5+M30=")</f>
        <v>#VALUE!</v>
      </c>
      <c r="DW17" t="e">
        <f>AND('Application, video'!K61,"AAAAAH5+M34=")</f>
        <v>#VALUE!</v>
      </c>
      <c r="DX17" t="e">
        <f>AND('Application, video'!L61,"AAAAAH5+M38=")</f>
        <v>#VALUE!</v>
      </c>
      <c r="DY17" t="e">
        <f>AND('Application, video'!M61,"AAAAAH5+M4A=")</f>
        <v>#VALUE!</v>
      </c>
      <c r="DZ17" t="e">
        <f>AND('Application, video'!N61,"AAAAAH5+M4E=")</f>
        <v>#VALUE!</v>
      </c>
      <c r="EA17">
        <f>IF('Application, video'!62:62,"AAAAAH5+M4I=",0)</f>
        <v>0</v>
      </c>
      <c r="EB17" t="e">
        <f>AND('Application, video'!A62,"AAAAAH5+M4M=")</f>
        <v>#VALUE!</v>
      </c>
      <c r="EC17" t="e">
        <f>AND('Application, video'!B62,"AAAAAH5+M4Q=")</f>
        <v>#VALUE!</v>
      </c>
      <c r="ED17" t="e">
        <f>AND('Application, video'!C62,"AAAAAH5+M4U=")</f>
        <v>#VALUE!</v>
      </c>
      <c r="EE17" t="e">
        <f>AND('Application, video'!D62,"AAAAAH5+M4Y=")</f>
        <v>#VALUE!</v>
      </c>
      <c r="EF17" t="e">
        <f>AND('Application, video'!E62,"AAAAAH5+M4c=")</f>
        <v>#VALUE!</v>
      </c>
      <c r="EG17" t="e">
        <f>AND('Application, video'!F62,"AAAAAH5+M4g=")</f>
        <v>#VALUE!</v>
      </c>
      <c r="EH17" t="e">
        <f>AND('Application, video'!G62,"AAAAAH5+M4k=")</f>
        <v>#VALUE!</v>
      </c>
      <c r="EI17" t="e">
        <f>AND('Application, video'!H62,"AAAAAH5+M4o=")</f>
        <v>#VALUE!</v>
      </c>
      <c r="EJ17" t="e">
        <f>AND('Application, video'!I62,"AAAAAH5+M4s=")</f>
        <v>#VALUE!</v>
      </c>
      <c r="EK17" t="e">
        <f>AND('Application, video'!J62,"AAAAAH5+M4w=")</f>
        <v>#VALUE!</v>
      </c>
      <c r="EL17" t="e">
        <f>AND('Application, video'!K62,"AAAAAH5+M40=")</f>
        <v>#VALUE!</v>
      </c>
      <c r="EM17" t="e">
        <f>AND('Application, video'!L62,"AAAAAH5+M44=")</f>
        <v>#VALUE!</v>
      </c>
      <c r="EN17" t="e">
        <f>AND('Application, video'!M62,"AAAAAH5+M48=")</f>
        <v>#VALUE!</v>
      </c>
      <c r="EO17" t="e">
        <f>AND('Application, video'!N62,"AAAAAH5+M5A=")</f>
        <v>#VALUE!</v>
      </c>
      <c r="EP17">
        <f>IF('Application, video'!63:63,"AAAAAH5+M5E=",0)</f>
        <v>0</v>
      </c>
      <c r="EQ17" t="e">
        <f>AND('Application, video'!A63,"AAAAAH5+M5I=")</f>
        <v>#VALUE!</v>
      </c>
      <c r="ER17" t="e">
        <f>AND('Application, video'!B63,"AAAAAH5+M5M=")</f>
        <v>#VALUE!</v>
      </c>
      <c r="ES17" t="e">
        <f>AND('Application, video'!C63,"AAAAAH5+M5Q=")</f>
        <v>#VALUE!</v>
      </c>
      <c r="ET17" t="e">
        <f>AND('Application, video'!D63,"AAAAAH5+M5U=")</f>
        <v>#VALUE!</v>
      </c>
      <c r="EU17" t="e">
        <f>AND('Application, video'!E63,"AAAAAH5+M5Y=")</f>
        <v>#VALUE!</v>
      </c>
      <c r="EV17" t="e">
        <f>AND('Application, video'!F63,"AAAAAH5+M5c=")</f>
        <v>#VALUE!</v>
      </c>
      <c r="EW17" t="e">
        <f>AND('Application, video'!G63,"AAAAAH5+M5g=")</f>
        <v>#VALUE!</v>
      </c>
      <c r="EX17" t="e">
        <f>AND('Application, video'!H63,"AAAAAH5+M5k=")</f>
        <v>#VALUE!</v>
      </c>
      <c r="EY17" t="e">
        <f>AND('Application, video'!I63,"AAAAAH5+M5o=")</f>
        <v>#VALUE!</v>
      </c>
      <c r="EZ17" t="e">
        <f>AND('Application, video'!J63,"AAAAAH5+M5s=")</f>
        <v>#VALUE!</v>
      </c>
      <c r="FA17" t="e">
        <f>AND('Application, video'!K63,"AAAAAH5+M5w=")</f>
        <v>#VALUE!</v>
      </c>
      <c r="FB17" t="e">
        <f>AND('Application, video'!L63,"AAAAAH5+M50=")</f>
        <v>#VALUE!</v>
      </c>
      <c r="FC17" t="e">
        <f>AND('Application, video'!M63,"AAAAAH5+M54=")</f>
        <v>#VALUE!</v>
      </c>
      <c r="FD17" t="e">
        <f>AND('Application, video'!N63,"AAAAAH5+M58=")</f>
        <v>#VALUE!</v>
      </c>
      <c r="FE17">
        <f>IF('Application, video'!64:64,"AAAAAH5+M6A=",0)</f>
        <v>0</v>
      </c>
      <c r="FF17" t="e">
        <f>AND('Application, video'!A64,"AAAAAH5+M6E=")</f>
        <v>#VALUE!</v>
      </c>
      <c r="FG17" t="e">
        <f>AND('Application, video'!B64,"AAAAAH5+M6I=")</f>
        <v>#VALUE!</v>
      </c>
      <c r="FH17" t="e">
        <f>AND('Application, video'!C64,"AAAAAH5+M6M=")</f>
        <v>#VALUE!</v>
      </c>
      <c r="FI17" t="e">
        <f>AND('Application, video'!D64,"AAAAAH5+M6Q=")</f>
        <v>#VALUE!</v>
      </c>
      <c r="FJ17" t="e">
        <f>AND('Application, video'!E64,"AAAAAH5+M6U=")</f>
        <v>#VALUE!</v>
      </c>
      <c r="FK17" t="e">
        <f>AND('Application, video'!F64,"AAAAAH5+M6Y=")</f>
        <v>#VALUE!</v>
      </c>
      <c r="FL17" t="e">
        <f>AND('Application, video'!G64,"AAAAAH5+M6c=")</f>
        <v>#VALUE!</v>
      </c>
      <c r="FM17" t="e">
        <f>AND('Application, video'!H64,"AAAAAH5+M6g=")</f>
        <v>#VALUE!</v>
      </c>
      <c r="FN17" t="e">
        <f>AND('Application, video'!I64,"AAAAAH5+M6k=")</f>
        <v>#VALUE!</v>
      </c>
      <c r="FO17" t="e">
        <f>AND('Application, video'!J64,"AAAAAH5+M6o=")</f>
        <v>#VALUE!</v>
      </c>
      <c r="FP17" t="e">
        <f>AND('Application, video'!K64,"AAAAAH5+M6s=")</f>
        <v>#VALUE!</v>
      </c>
      <c r="FQ17" t="e">
        <f>AND('Application, video'!L64,"AAAAAH5+M6w=")</f>
        <v>#VALUE!</v>
      </c>
      <c r="FR17" t="e">
        <f>AND('Application, video'!M64,"AAAAAH5+M60=")</f>
        <v>#VALUE!</v>
      </c>
      <c r="FS17" t="e">
        <f>AND('Application, video'!N64,"AAAAAH5+M64=")</f>
        <v>#VALUE!</v>
      </c>
      <c r="FT17">
        <f>IF('Application, video'!65:65,"AAAAAH5+M68=",0)</f>
        <v>0</v>
      </c>
      <c r="FU17" t="e">
        <f>AND('Application, video'!A65,"AAAAAH5+M7A=")</f>
        <v>#VALUE!</v>
      </c>
      <c r="FV17" t="e">
        <f>AND('Application, video'!B65,"AAAAAH5+M7E=")</f>
        <v>#VALUE!</v>
      </c>
      <c r="FW17" t="e">
        <f>AND('Application, video'!C65,"AAAAAH5+M7I=")</f>
        <v>#VALUE!</v>
      </c>
      <c r="FX17" t="e">
        <f>AND('Application, video'!D65,"AAAAAH5+M7M=")</f>
        <v>#VALUE!</v>
      </c>
      <c r="FY17" t="e">
        <f>AND('Application, video'!E65,"AAAAAH5+M7Q=")</f>
        <v>#VALUE!</v>
      </c>
      <c r="FZ17" t="e">
        <f>AND('Application, video'!F65,"AAAAAH5+M7U=")</f>
        <v>#VALUE!</v>
      </c>
      <c r="GA17" t="e">
        <f>AND('Application, video'!G65,"AAAAAH5+M7Y=")</f>
        <v>#VALUE!</v>
      </c>
      <c r="GB17" t="e">
        <f>AND('Application, video'!H65,"AAAAAH5+M7c=")</f>
        <v>#VALUE!</v>
      </c>
      <c r="GC17" t="e">
        <f>AND('Application, video'!I65,"AAAAAH5+M7g=")</f>
        <v>#VALUE!</v>
      </c>
      <c r="GD17" t="e">
        <f>AND('Application, video'!J65,"AAAAAH5+M7k=")</f>
        <v>#VALUE!</v>
      </c>
      <c r="GE17" t="e">
        <f>AND('Application, video'!K65,"AAAAAH5+M7o=")</f>
        <v>#VALUE!</v>
      </c>
      <c r="GF17" t="e">
        <f>AND('Application, video'!L65,"AAAAAH5+M7s=")</f>
        <v>#VALUE!</v>
      </c>
      <c r="GG17" t="e">
        <f>AND('Application, video'!M65,"AAAAAH5+M7w=")</f>
        <v>#VALUE!</v>
      </c>
      <c r="GH17" t="e">
        <f>AND('Application, video'!N65,"AAAAAH5+M70=")</f>
        <v>#VALUE!</v>
      </c>
      <c r="GI17">
        <f>IF('Application, video'!66:66,"AAAAAH5+M74=",0)</f>
        <v>0</v>
      </c>
      <c r="GJ17" t="e">
        <f>AND('Application, video'!A66,"AAAAAH5+M78=")</f>
        <v>#VALUE!</v>
      </c>
      <c r="GK17" t="e">
        <f>AND('Application, video'!B66,"AAAAAH5+M8A=")</f>
        <v>#VALUE!</v>
      </c>
      <c r="GL17" t="e">
        <f>AND('Application, video'!C66,"AAAAAH5+M8E=")</f>
        <v>#VALUE!</v>
      </c>
      <c r="GM17" t="e">
        <f>AND('Application, video'!D66,"AAAAAH5+M8I=")</f>
        <v>#VALUE!</v>
      </c>
      <c r="GN17" t="e">
        <f>AND('Application, video'!E66,"AAAAAH5+M8M=")</f>
        <v>#VALUE!</v>
      </c>
      <c r="GO17" t="e">
        <f>AND('Application, video'!F66,"AAAAAH5+M8Q=")</f>
        <v>#VALUE!</v>
      </c>
      <c r="GP17" t="e">
        <f>AND('Application, video'!G66,"AAAAAH5+M8U=")</f>
        <v>#VALUE!</v>
      </c>
      <c r="GQ17" t="e">
        <f>AND('Application, video'!H66,"AAAAAH5+M8Y=")</f>
        <v>#VALUE!</v>
      </c>
      <c r="GR17" t="e">
        <f>AND('Application, video'!I66,"AAAAAH5+M8c=")</f>
        <v>#VALUE!</v>
      </c>
      <c r="GS17" t="e">
        <f>AND('Application, video'!J66,"AAAAAH5+M8g=")</f>
        <v>#VALUE!</v>
      </c>
      <c r="GT17" t="e">
        <f>AND('Application, video'!K66,"AAAAAH5+M8k=")</f>
        <v>#VALUE!</v>
      </c>
      <c r="GU17" t="e">
        <f>AND('Application, video'!L66,"AAAAAH5+M8o=")</f>
        <v>#VALUE!</v>
      </c>
      <c r="GV17" t="e">
        <f>AND('Application, video'!M66,"AAAAAH5+M8s=")</f>
        <v>#VALUE!</v>
      </c>
      <c r="GW17" t="e">
        <f>AND('Application, video'!N66,"AAAAAH5+M8w=")</f>
        <v>#VALUE!</v>
      </c>
      <c r="GX17">
        <f>IF('Application, video'!67:67,"AAAAAH5+M80=",0)</f>
        <v>0</v>
      </c>
      <c r="GY17" t="e">
        <f>AND('Application, video'!A67,"AAAAAH5+M84=")</f>
        <v>#VALUE!</v>
      </c>
      <c r="GZ17" t="e">
        <f>AND('Application, video'!B67,"AAAAAH5+M88=")</f>
        <v>#VALUE!</v>
      </c>
      <c r="HA17" t="e">
        <f>AND('Application, video'!C67,"AAAAAH5+M9A=")</f>
        <v>#VALUE!</v>
      </c>
      <c r="HB17" t="e">
        <f>AND('Application, video'!D67,"AAAAAH5+M9E=")</f>
        <v>#VALUE!</v>
      </c>
      <c r="HC17" t="e">
        <f>AND('Application, video'!E67,"AAAAAH5+M9I=")</f>
        <v>#VALUE!</v>
      </c>
      <c r="HD17" t="e">
        <f>AND('Application, video'!F67,"AAAAAH5+M9M=")</f>
        <v>#VALUE!</v>
      </c>
      <c r="HE17" t="e">
        <f>AND('Application, video'!G67,"AAAAAH5+M9Q=")</f>
        <v>#VALUE!</v>
      </c>
      <c r="HF17" t="e">
        <f>AND('Application, video'!H67,"AAAAAH5+M9U=")</f>
        <v>#VALUE!</v>
      </c>
      <c r="HG17" t="e">
        <f>AND('Application, video'!I67,"AAAAAH5+M9Y=")</f>
        <v>#VALUE!</v>
      </c>
      <c r="HH17" t="e">
        <f>AND('Application, video'!J67,"AAAAAH5+M9c=")</f>
        <v>#VALUE!</v>
      </c>
      <c r="HI17" t="e">
        <f>AND('Application, video'!K67,"AAAAAH5+M9g=")</f>
        <v>#VALUE!</v>
      </c>
      <c r="HJ17" t="e">
        <f>AND('Application, video'!L67,"AAAAAH5+M9k=")</f>
        <v>#VALUE!</v>
      </c>
      <c r="HK17" t="e">
        <f>AND('Application, video'!M67,"AAAAAH5+M9o=")</f>
        <v>#VALUE!</v>
      </c>
      <c r="HL17" t="e">
        <f>AND('Application, video'!N67,"AAAAAH5+M9s=")</f>
        <v>#VALUE!</v>
      </c>
      <c r="HM17">
        <f>IF('Application, video'!68:68,"AAAAAH5+M9w=",0)</f>
        <v>0</v>
      </c>
      <c r="HN17" t="e">
        <f>AND('Application, video'!A68,"AAAAAH5+M90=")</f>
        <v>#VALUE!</v>
      </c>
      <c r="HO17" t="e">
        <f>AND('Application, video'!B68,"AAAAAH5+M94=")</f>
        <v>#VALUE!</v>
      </c>
      <c r="HP17" t="e">
        <f>AND('Application, video'!C68,"AAAAAH5+M98=")</f>
        <v>#VALUE!</v>
      </c>
      <c r="HQ17" t="e">
        <f>AND('Application, video'!D68,"AAAAAH5+M+A=")</f>
        <v>#VALUE!</v>
      </c>
      <c r="HR17" t="e">
        <f>AND('Application, video'!E68,"AAAAAH5+M+E=")</f>
        <v>#VALUE!</v>
      </c>
      <c r="HS17" t="e">
        <f>AND('Application, video'!F68,"AAAAAH5+M+I=")</f>
        <v>#VALUE!</v>
      </c>
      <c r="HT17" t="e">
        <f>AND('Application, video'!G68,"AAAAAH5+M+M=")</f>
        <v>#VALUE!</v>
      </c>
      <c r="HU17" t="e">
        <f>AND('Application, video'!H68,"AAAAAH5+M+Q=")</f>
        <v>#VALUE!</v>
      </c>
      <c r="HV17" t="e">
        <f>AND('Application, video'!I68,"AAAAAH5+M+U=")</f>
        <v>#VALUE!</v>
      </c>
      <c r="HW17" t="e">
        <f>AND('Application, video'!J68,"AAAAAH5+M+Y=")</f>
        <v>#VALUE!</v>
      </c>
      <c r="HX17" t="e">
        <f>AND('Application, video'!K68,"AAAAAH5+M+c=")</f>
        <v>#VALUE!</v>
      </c>
      <c r="HY17" t="e">
        <f>AND('Application, video'!L68,"AAAAAH5+M+g=")</f>
        <v>#VALUE!</v>
      </c>
      <c r="HZ17" t="e">
        <f>AND('Application, video'!M68,"AAAAAH5+M+k=")</f>
        <v>#VALUE!</v>
      </c>
      <c r="IA17" t="e">
        <f>AND('Application, video'!N68,"AAAAAH5+M+o=")</f>
        <v>#VALUE!</v>
      </c>
      <c r="IB17">
        <f>IF('Application, video'!69:69,"AAAAAH5+M+s=",0)</f>
        <v>0</v>
      </c>
      <c r="IC17" t="e">
        <f>AND('Application, video'!A69,"AAAAAH5+M+w=")</f>
        <v>#VALUE!</v>
      </c>
      <c r="ID17" t="e">
        <f>AND('Application, video'!B69,"AAAAAH5+M+0=")</f>
        <v>#VALUE!</v>
      </c>
      <c r="IE17" t="e">
        <f>AND('Application, video'!C69,"AAAAAH5+M+4=")</f>
        <v>#VALUE!</v>
      </c>
      <c r="IF17" t="e">
        <f>AND('Application, video'!D69,"AAAAAH5+M+8=")</f>
        <v>#VALUE!</v>
      </c>
      <c r="IG17" t="e">
        <f>AND('Application, video'!E69,"AAAAAH5+M/A=")</f>
        <v>#VALUE!</v>
      </c>
      <c r="IH17" t="e">
        <f>AND('Application, video'!F69,"AAAAAH5+M/E=")</f>
        <v>#VALUE!</v>
      </c>
      <c r="II17" t="e">
        <f>AND('Application, video'!G69,"AAAAAH5+M/I=")</f>
        <v>#VALUE!</v>
      </c>
      <c r="IJ17" t="e">
        <f>AND('Application, video'!H69,"AAAAAH5+M/M=")</f>
        <v>#VALUE!</v>
      </c>
      <c r="IK17" t="e">
        <f>AND('Application, video'!I69,"AAAAAH5+M/Q=")</f>
        <v>#VALUE!</v>
      </c>
      <c r="IL17" t="e">
        <f>AND('Application, video'!J69,"AAAAAH5+M/U=")</f>
        <v>#VALUE!</v>
      </c>
      <c r="IM17" t="e">
        <f>AND('Application, video'!K69,"AAAAAH5+M/Y=")</f>
        <v>#VALUE!</v>
      </c>
      <c r="IN17" t="e">
        <f>AND('Application, video'!L69,"AAAAAH5+M/c=")</f>
        <v>#VALUE!</v>
      </c>
      <c r="IO17" t="e">
        <f>AND('Application, video'!M69,"AAAAAH5+M/g=")</f>
        <v>#VALUE!</v>
      </c>
      <c r="IP17" t="e">
        <f>AND('Application, video'!N69,"AAAAAH5+M/k=")</f>
        <v>#VALUE!</v>
      </c>
      <c r="IQ17">
        <f>IF('Application, video'!70:70,"AAAAAH5+M/o=",0)</f>
        <v>0</v>
      </c>
      <c r="IR17" t="e">
        <f>AND('Application, video'!A70,"AAAAAH5+M/s=")</f>
        <v>#VALUE!</v>
      </c>
      <c r="IS17" t="e">
        <f>AND('Application, video'!B70,"AAAAAH5+M/w=")</f>
        <v>#VALUE!</v>
      </c>
      <c r="IT17" t="e">
        <f>AND('Application, video'!C70,"AAAAAH5+M/0=")</f>
        <v>#VALUE!</v>
      </c>
      <c r="IU17" t="e">
        <f>AND('Application, video'!D70,"AAAAAH5+M/4=")</f>
        <v>#VALUE!</v>
      </c>
      <c r="IV17" t="e">
        <f>AND('Application, video'!E70,"AAAAAH5+M/8=")</f>
        <v>#VALUE!</v>
      </c>
    </row>
    <row r="18" spans="1:256" ht="12.75">
      <c r="A18" t="e">
        <f>AND('Application, video'!F70,"AAAAAD/r7wA=")</f>
        <v>#VALUE!</v>
      </c>
      <c r="B18" t="e">
        <f>AND('Application, video'!G70,"AAAAAD/r7wE=")</f>
        <v>#VALUE!</v>
      </c>
      <c r="C18" t="e">
        <f>AND('Application, video'!H70,"AAAAAD/r7wI=")</f>
        <v>#VALUE!</v>
      </c>
      <c r="D18" t="e">
        <f>AND('Application, video'!I70,"AAAAAD/r7wM=")</f>
        <v>#VALUE!</v>
      </c>
      <c r="E18" t="e">
        <f>AND('Application, video'!J70,"AAAAAD/r7wQ=")</f>
        <v>#VALUE!</v>
      </c>
      <c r="F18" t="e">
        <f>AND('Application, video'!K70,"AAAAAD/r7wU=")</f>
        <v>#VALUE!</v>
      </c>
      <c r="G18" t="e">
        <f>AND('Application, video'!L70,"AAAAAD/r7wY=")</f>
        <v>#VALUE!</v>
      </c>
      <c r="H18" t="e">
        <f>AND('Application, video'!M70,"AAAAAD/r7wc=")</f>
        <v>#VALUE!</v>
      </c>
      <c r="I18" t="e">
        <f>AND('Application, video'!N70,"AAAAAD/r7wg=")</f>
        <v>#VALUE!</v>
      </c>
      <c r="J18">
        <f>IF('Application, video'!71:71,"AAAAAD/r7wk=",0)</f>
        <v>0</v>
      </c>
      <c r="K18" t="e">
        <f>AND('Application, video'!A71,"AAAAAD/r7wo=")</f>
        <v>#VALUE!</v>
      </c>
      <c r="L18" t="e">
        <f>AND('Application, video'!B71,"AAAAAD/r7ws=")</f>
        <v>#VALUE!</v>
      </c>
      <c r="M18" t="e">
        <f>AND('Application, video'!C71,"AAAAAD/r7ww=")</f>
        <v>#VALUE!</v>
      </c>
      <c r="N18" t="e">
        <f>AND('Application, video'!D71,"AAAAAD/r7w0=")</f>
        <v>#VALUE!</v>
      </c>
      <c r="O18" t="e">
        <f>AND('Application, video'!E71,"AAAAAD/r7w4=")</f>
        <v>#VALUE!</v>
      </c>
      <c r="P18" t="e">
        <f>AND('Application, video'!F71,"AAAAAD/r7w8=")</f>
        <v>#VALUE!</v>
      </c>
      <c r="Q18" t="e">
        <f>AND('Application, video'!G71,"AAAAAD/r7xA=")</f>
        <v>#VALUE!</v>
      </c>
      <c r="R18" t="e">
        <f>AND('Application, video'!H71,"AAAAAD/r7xE=")</f>
        <v>#VALUE!</v>
      </c>
      <c r="S18" t="e">
        <f>AND('Application, video'!I71,"AAAAAD/r7xI=")</f>
        <v>#VALUE!</v>
      </c>
      <c r="T18" t="e">
        <f>AND('Application, video'!J71,"AAAAAD/r7xM=")</f>
        <v>#VALUE!</v>
      </c>
      <c r="U18" t="e">
        <f>AND('Application, video'!K71,"AAAAAD/r7xQ=")</f>
        <v>#VALUE!</v>
      </c>
      <c r="V18" t="e">
        <f>AND('Application, video'!L71,"AAAAAD/r7xU=")</f>
        <v>#VALUE!</v>
      </c>
      <c r="W18" t="e">
        <f>AND('Application, video'!M71,"AAAAAD/r7xY=")</f>
        <v>#VALUE!</v>
      </c>
      <c r="X18" t="e">
        <f>AND('Application, video'!N71,"AAAAAD/r7xc=")</f>
        <v>#VALUE!</v>
      </c>
      <c r="Y18">
        <f>IF('Application, video'!72:72,"AAAAAD/r7xg=",0)</f>
        <v>0</v>
      </c>
      <c r="Z18" t="e">
        <f>AND('Application, video'!A72,"AAAAAD/r7xk=")</f>
        <v>#VALUE!</v>
      </c>
      <c r="AA18" t="e">
        <f>AND('Application, video'!B72,"AAAAAD/r7xo=")</f>
        <v>#VALUE!</v>
      </c>
      <c r="AB18" t="e">
        <f>AND('Application, video'!C72,"AAAAAD/r7xs=")</f>
        <v>#VALUE!</v>
      </c>
      <c r="AC18" t="e">
        <f>AND('Application, video'!D72,"AAAAAD/r7xw=")</f>
        <v>#VALUE!</v>
      </c>
      <c r="AD18" t="e">
        <f>AND('Application, video'!E72,"AAAAAD/r7x0=")</f>
        <v>#VALUE!</v>
      </c>
      <c r="AE18" t="e">
        <f>AND('Application, video'!F72,"AAAAAD/r7x4=")</f>
        <v>#VALUE!</v>
      </c>
      <c r="AF18" t="e">
        <f>AND('Application, video'!G72,"AAAAAD/r7x8=")</f>
        <v>#VALUE!</v>
      </c>
      <c r="AG18" t="e">
        <f>AND('Application, video'!H72,"AAAAAD/r7yA=")</f>
        <v>#VALUE!</v>
      </c>
      <c r="AH18" t="e">
        <f>AND('Application, video'!I72,"AAAAAD/r7yE=")</f>
        <v>#VALUE!</v>
      </c>
      <c r="AI18" t="e">
        <f>AND('Application, video'!J72,"AAAAAD/r7yI=")</f>
        <v>#VALUE!</v>
      </c>
      <c r="AJ18" t="e">
        <f>AND('Application, video'!K72,"AAAAAD/r7yM=")</f>
        <v>#VALUE!</v>
      </c>
      <c r="AK18" t="e">
        <f>AND('Application, video'!L72,"AAAAAD/r7yQ=")</f>
        <v>#VALUE!</v>
      </c>
      <c r="AL18" t="e">
        <f>AND('Application, video'!M72,"AAAAAD/r7yU=")</f>
        <v>#VALUE!</v>
      </c>
      <c r="AM18" t="e">
        <f>AND('Application, video'!N72,"AAAAAD/r7yY=")</f>
        <v>#VALUE!</v>
      </c>
      <c r="AN18">
        <f>IF('Application, video'!73:73,"AAAAAD/r7yc=",0)</f>
        <v>0</v>
      </c>
      <c r="AO18" t="e">
        <f>AND('Application, video'!A73,"AAAAAD/r7yg=")</f>
        <v>#VALUE!</v>
      </c>
      <c r="AP18" t="e">
        <f>AND('Application, video'!B73,"AAAAAD/r7yk=")</f>
        <v>#VALUE!</v>
      </c>
      <c r="AQ18" t="e">
        <f>AND('Application, video'!C73,"AAAAAD/r7yo=")</f>
        <v>#VALUE!</v>
      </c>
      <c r="AR18" t="e">
        <f>AND('Application, video'!D73,"AAAAAD/r7ys=")</f>
        <v>#VALUE!</v>
      </c>
      <c r="AS18" t="e">
        <f>AND('Application, video'!E73,"AAAAAD/r7yw=")</f>
        <v>#VALUE!</v>
      </c>
      <c r="AT18" t="e">
        <f>AND('Application, video'!F73,"AAAAAD/r7y0=")</f>
        <v>#VALUE!</v>
      </c>
      <c r="AU18" t="e">
        <f>AND('Application, video'!G73,"AAAAAD/r7y4=")</f>
        <v>#VALUE!</v>
      </c>
      <c r="AV18" t="e">
        <f>AND('Application, video'!H73,"AAAAAD/r7y8=")</f>
        <v>#VALUE!</v>
      </c>
      <c r="AW18" t="e">
        <f>AND('Application, video'!I73,"AAAAAD/r7zA=")</f>
        <v>#VALUE!</v>
      </c>
      <c r="AX18" t="e">
        <f>AND('Application, video'!J73,"AAAAAD/r7zE=")</f>
        <v>#VALUE!</v>
      </c>
      <c r="AY18" t="e">
        <f>AND('Application, video'!K73,"AAAAAD/r7zI=")</f>
        <v>#VALUE!</v>
      </c>
      <c r="AZ18" t="e">
        <f>AND('Application, video'!L73,"AAAAAD/r7zM=")</f>
        <v>#VALUE!</v>
      </c>
      <c r="BA18" t="e">
        <f>AND('Application, video'!M73,"AAAAAD/r7zQ=")</f>
        <v>#VALUE!</v>
      </c>
      <c r="BB18" t="e">
        <f>AND('Application, video'!N73,"AAAAAD/r7zU=")</f>
        <v>#VALUE!</v>
      </c>
      <c r="BC18">
        <f>IF('Application, video'!74:74,"AAAAAD/r7zY=",0)</f>
        <v>0</v>
      </c>
      <c r="BD18" t="e">
        <f>AND('Application, video'!A74,"AAAAAD/r7zc=")</f>
        <v>#VALUE!</v>
      </c>
      <c r="BE18" t="e">
        <f>AND('Application, video'!B74,"AAAAAD/r7zg=")</f>
        <v>#VALUE!</v>
      </c>
      <c r="BF18" t="e">
        <f>AND('Application, video'!C74,"AAAAAD/r7zk=")</f>
        <v>#VALUE!</v>
      </c>
      <c r="BG18" t="e">
        <f>AND('Application, video'!D74,"AAAAAD/r7zo=")</f>
        <v>#VALUE!</v>
      </c>
      <c r="BH18" t="e">
        <f>AND('Application, video'!E74,"AAAAAD/r7zs=")</f>
        <v>#VALUE!</v>
      </c>
      <c r="BI18" t="e">
        <f>AND('Application, video'!F74,"AAAAAD/r7zw=")</f>
        <v>#VALUE!</v>
      </c>
      <c r="BJ18" t="e">
        <f>AND('Application, video'!G74,"AAAAAD/r7z0=")</f>
        <v>#VALUE!</v>
      </c>
      <c r="BK18" t="e">
        <f>AND('Application, video'!H74,"AAAAAD/r7z4=")</f>
        <v>#VALUE!</v>
      </c>
      <c r="BL18" t="e">
        <f>AND('Application, video'!I74,"AAAAAD/r7z8=")</f>
        <v>#VALUE!</v>
      </c>
      <c r="BM18" t="e">
        <f>AND('Application, video'!J74,"AAAAAD/r70A=")</f>
        <v>#VALUE!</v>
      </c>
      <c r="BN18" t="e">
        <f>AND('Application, video'!K74,"AAAAAD/r70E=")</f>
        <v>#VALUE!</v>
      </c>
      <c r="BO18" t="e">
        <f>AND('Application, video'!L74,"AAAAAD/r70I=")</f>
        <v>#VALUE!</v>
      </c>
      <c r="BP18" t="e">
        <f>AND('Application, video'!M74,"AAAAAD/r70M=")</f>
        <v>#VALUE!</v>
      </c>
      <c r="BQ18" t="e">
        <f>AND('Application, video'!N74,"AAAAAD/r70Q=")</f>
        <v>#VALUE!</v>
      </c>
      <c r="BR18">
        <f>IF('Application, video'!75:75,"AAAAAD/r70U=",0)</f>
        <v>0</v>
      </c>
      <c r="BS18" t="e">
        <f>AND('Application, video'!A75,"AAAAAD/r70Y=")</f>
        <v>#VALUE!</v>
      </c>
      <c r="BT18" t="e">
        <f>AND('Application, video'!B75,"AAAAAD/r70c=")</f>
        <v>#VALUE!</v>
      </c>
      <c r="BU18" t="e">
        <f>AND('Application, video'!C75,"AAAAAD/r70g=")</f>
        <v>#VALUE!</v>
      </c>
      <c r="BV18" t="e">
        <f>AND('Application, video'!D75,"AAAAAD/r70k=")</f>
        <v>#VALUE!</v>
      </c>
      <c r="BW18" t="e">
        <f>AND('Application, video'!E75,"AAAAAD/r70o=")</f>
        <v>#VALUE!</v>
      </c>
      <c r="BX18" t="e">
        <f>AND('Application, video'!F75,"AAAAAD/r70s=")</f>
        <v>#VALUE!</v>
      </c>
      <c r="BY18" t="e">
        <f>AND('Application, video'!G75,"AAAAAD/r70w=")</f>
        <v>#VALUE!</v>
      </c>
      <c r="BZ18" t="e">
        <f>AND('Application, video'!H75,"AAAAAD/r700=")</f>
        <v>#VALUE!</v>
      </c>
      <c r="CA18" t="e">
        <f>AND('Application, video'!I75,"AAAAAD/r704=")</f>
        <v>#VALUE!</v>
      </c>
      <c r="CB18" t="e">
        <f>AND('Application, video'!J75,"AAAAAD/r708=")</f>
        <v>#VALUE!</v>
      </c>
      <c r="CC18" t="e">
        <f>AND('Application, video'!K75,"AAAAAD/r71A=")</f>
        <v>#VALUE!</v>
      </c>
      <c r="CD18" t="e">
        <f>AND('Application, video'!L75,"AAAAAD/r71E=")</f>
        <v>#VALUE!</v>
      </c>
      <c r="CE18" t="e">
        <f>AND('Application, video'!M75,"AAAAAD/r71I=")</f>
        <v>#VALUE!</v>
      </c>
      <c r="CF18" t="e">
        <f>AND('Application, video'!N75,"AAAAAD/r71M=")</f>
        <v>#VALUE!</v>
      </c>
      <c r="CG18">
        <f>IF('Application, video'!76:76,"AAAAAD/r71Q=",0)</f>
        <v>0</v>
      </c>
      <c r="CH18" t="e">
        <f>AND('Application, video'!A76,"AAAAAD/r71U=")</f>
        <v>#VALUE!</v>
      </c>
      <c r="CI18" t="e">
        <f>AND('Application, video'!B76,"AAAAAD/r71Y=")</f>
        <v>#VALUE!</v>
      </c>
      <c r="CJ18" t="e">
        <f>AND('Application, video'!C76,"AAAAAD/r71c=")</f>
        <v>#VALUE!</v>
      </c>
      <c r="CK18" t="e">
        <f>AND('Application, video'!D76,"AAAAAD/r71g=")</f>
        <v>#VALUE!</v>
      </c>
      <c r="CL18" t="e">
        <f>AND('Application, video'!E76,"AAAAAD/r71k=")</f>
        <v>#VALUE!</v>
      </c>
      <c r="CM18" t="e">
        <f>AND('Application, video'!F76,"AAAAAD/r71o=")</f>
        <v>#VALUE!</v>
      </c>
      <c r="CN18" t="e">
        <f>AND('Application, video'!G76,"AAAAAD/r71s=")</f>
        <v>#VALUE!</v>
      </c>
      <c r="CO18" t="e">
        <f>AND('Application, video'!H76,"AAAAAD/r71w=")</f>
        <v>#VALUE!</v>
      </c>
      <c r="CP18" t="e">
        <f>AND('Application, video'!I76,"AAAAAD/r710=")</f>
        <v>#VALUE!</v>
      </c>
      <c r="CQ18" t="e">
        <f>AND('Application, video'!J76,"AAAAAD/r714=")</f>
        <v>#VALUE!</v>
      </c>
      <c r="CR18" t="e">
        <f>AND('Application, video'!K76,"AAAAAD/r718=")</f>
        <v>#VALUE!</v>
      </c>
      <c r="CS18" t="e">
        <f>AND('Application, video'!L76,"AAAAAD/r72A=")</f>
        <v>#VALUE!</v>
      </c>
      <c r="CT18" t="e">
        <f>AND('Application, video'!M76,"AAAAAD/r72E=")</f>
        <v>#VALUE!</v>
      </c>
      <c r="CU18" t="e">
        <f>AND('Application, video'!N76,"AAAAAD/r72I=")</f>
        <v>#VALUE!</v>
      </c>
      <c r="CV18">
        <f>IF('Application, video'!77:77,"AAAAAD/r72M=",0)</f>
        <v>0</v>
      </c>
      <c r="CW18" t="e">
        <f>AND('Application, video'!A77,"AAAAAD/r72Q=")</f>
        <v>#VALUE!</v>
      </c>
      <c r="CX18" t="e">
        <f>AND('Application, video'!B77,"AAAAAD/r72U=")</f>
        <v>#VALUE!</v>
      </c>
      <c r="CY18" t="e">
        <f>AND('Application, video'!C77,"AAAAAD/r72Y=")</f>
        <v>#VALUE!</v>
      </c>
      <c r="CZ18" t="e">
        <f>AND('Application, video'!D77,"AAAAAD/r72c=")</f>
        <v>#VALUE!</v>
      </c>
      <c r="DA18" t="e">
        <f>AND('Application, video'!E77,"AAAAAD/r72g=")</f>
        <v>#VALUE!</v>
      </c>
      <c r="DB18" t="e">
        <f>AND('Application, video'!F77,"AAAAAD/r72k=")</f>
        <v>#VALUE!</v>
      </c>
      <c r="DC18" t="e">
        <f>AND('Application, video'!G77,"AAAAAD/r72o=")</f>
        <v>#VALUE!</v>
      </c>
      <c r="DD18" t="e">
        <f>AND('Application, video'!H77,"AAAAAD/r72s=")</f>
        <v>#VALUE!</v>
      </c>
      <c r="DE18" t="e">
        <f>AND('Application, video'!I77,"AAAAAD/r72w=")</f>
        <v>#VALUE!</v>
      </c>
      <c r="DF18" t="e">
        <f>AND('Application, video'!J77,"AAAAAD/r720=")</f>
        <v>#VALUE!</v>
      </c>
      <c r="DG18" t="e">
        <f>AND('Application, video'!K77,"AAAAAD/r724=")</f>
        <v>#VALUE!</v>
      </c>
      <c r="DH18" t="e">
        <f>AND('Application, video'!L77,"AAAAAD/r728=")</f>
        <v>#VALUE!</v>
      </c>
      <c r="DI18" t="e">
        <f>AND('Application, video'!M77,"AAAAAD/r73A=")</f>
        <v>#VALUE!</v>
      </c>
      <c r="DJ18" t="e">
        <f>AND('Application, video'!N77,"AAAAAD/r73E=")</f>
        <v>#VALUE!</v>
      </c>
      <c r="DK18">
        <f>IF('Application, video'!78:78,"AAAAAD/r73I=",0)</f>
        <v>0</v>
      </c>
      <c r="DL18" t="e">
        <f>AND('Application, video'!A78,"AAAAAD/r73M=")</f>
        <v>#VALUE!</v>
      </c>
      <c r="DM18" t="e">
        <f>AND('Application, video'!B78,"AAAAAD/r73Q=")</f>
        <v>#VALUE!</v>
      </c>
      <c r="DN18" t="e">
        <f>AND('Application, video'!C78,"AAAAAD/r73U=")</f>
        <v>#VALUE!</v>
      </c>
      <c r="DO18" t="e">
        <f>AND('Application, video'!D78,"AAAAAD/r73Y=")</f>
        <v>#VALUE!</v>
      </c>
      <c r="DP18" t="e">
        <f>AND('Application, video'!E78,"AAAAAD/r73c=")</f>
        <v>#VALUE!</v>
      </c>
      <c r="DQ18" t="e">
        <f>AND('Application, video'!F78,"AAAAAD/r73g=")</f>
        <v>#VALUE!</v>
      </c>
      <c r="DR18" t="e">
        <f>AND('Application, video'!G78,"AAAAAD/r73k=")</f>
        <v>#VALUE!</v>
      </c>
      <c r="DS18" t="e">
        <f>AND('Application, video'!H78,"AAAAAD/r73o=")</f>
        <v>#VALUE!</v>
      </c>
      <c r="DT18" t="e">
        <f>AND('Application, video'!I78,"AAAAAD/r73s=")</f>
        <v>#VALUE!</v>
      </c>
      <c r="DU18" t="e">
        <f>AND('Application, video'!J78,"AAAAAD/r73w=")</f>
        <v>#VALUE!</v>
      </c>
      <c r="DV18" t="e">
        <f>AND('Application, video'!K78,"AAAAAD/r730=")</f>
        <v>#VALUE!</v>
      </c>
      <c r="DW18" t="e">
        <f>AND('Application, video'!L78,"AAAAAD/r734=")</f>
        <v>#VALUE!</v>
      </c>
      <c r="DX18" t="e">
        <f>AND('Application, video'!M78,"AAAAAD/r738=")</f>
        <v>#VALUE!</v>
      </c>
      <c r="DY18" t="e">
        <f>AND('Application, video'!N78,"AAAAAD/r74A=")</f>
        <v>#VALUE!</v>
      </c>
      <c r="DZ18">
        <f>IF('Application, video'!79:79,"AAAAAD/r74E=",0)</f>
        <v>0</v>
      </c>
      <c r="EA18" t="e">
        <f>AND('Application, video'!A79,"AAAAAD/r74I=")</f>
        <v>#VALUE!</v>
      </c>
      <c r="EB18" t="e">
        <f>AND('Application, video'!B79,"AAAAAD/r74M=")</f>
        <v>#VALUE!</v>
      </c>
      <c r="EC18" t="e">
        <f>AND('Application, video'!C79,"AAAAAD/r74Q=")</f>
        <v>#VALUE!</v>
      </c>
      <c r="ED18" t="e">
        <f>AND('Application, video'!D79,"AAAAAD/r74U=")</f>
        <v>#VALUE!</v>
      </c>
      <c r="EE18" t="e">
        <f>AND('Application, video'!E79,"AAAAAD/r74Y=")</f>
        <v>#VALUE!</v>
      </c>
      <c r="EF18" t="e">
        <f>AND('Application, video'!F79,"AAAAAD/r74c=")</f>
        <v>#VALUE!</v>
      </c>
      <c r="EG18" t="e">
        <f>AND('Application, video'!G79,"AAAAAD/r74g=")</f>
        <v>#VALUE!</v>
      </c>
      <c r="EH18" t="e">
        <f>AND('Application, video'!H79,"AAAAAD/r74k=")</f>
        <v>#VALUE!</v>
      </c>
      <c r="EI18" t="e">
        <f>AND('Application, video'!I79,"AAAAAD/r74o=")</f>
        <v>#VALUE!</v>
      </c>
      <c r="EJ18" t="e">
        <f>AND('Application, video'!J79,"AAAAAD/r74s=")</f>
        <v>#VALUE!</v>
      </c>
      <c r="EK18" t="e">
        <f>AND('Application, video'!K79,"AAAAAD/r74w=")</f>
        <v>#VALUE!</v>
      </c>
      <c r="EL18" t="e">
        <f>AND('Application, video'!L79,"AAAAAD/r740=")</f>
        <v>#VALUE!</v>
      </c>
      <c r="EM18" t="e">
        <f>AND('Application, video'!M79,"AAAAAD/r744=")</f>
        <v>#VALUE!</v>
      </c>
      <c r="EN18" t="e">
        <f>AND('Application, video'!N79,"AAAAAD/r748=")</f>
        <v>#VALUE!</v>
      </c>
      <c r="EO18">
        <f>IF('Application, video'!80:80,"AAAAAD/r75A=",0)</f>
        <v>0</v>
      </c>
      <c r="EP18" t="e">
        <f>AND('Application, video'!A80,"AAAAAD/r75E=")</f>
        <v>#VALUE!</v>
      </c>
      <c r="EQ18" t="e">
        <f>AND('Application, video'!B80,"AAAAAD/r75I=")</f>
        <v>#VALUE!</v>
      </c>
      <c r="ER18" t="e">
        <f>AND('Application, video'!C80,"AAAAAD/r75M=")</f>
        <v>#VALUE!</v>
      </c>
      <c r="ES18" t="e">
        <f>AND('Application, video'!D80,"AAAAAD/r75Q=")</f>
        <v>#VALUE!</v>
      </c>
      <c r="ET18" t="e">
        <f>AND('Application, video'!E80,"AAAAAD/r75U=")</f>
        <v>#VALUE!</v>
      </c>
      <c r="EU18" t="e">
        <f>AND('Application, video'!F80,"AAAAAD/r75Y=")</f>
        <v>#VALUE!</v>
      </c>
      <c r="EV18" t="e">
        <f>AND('Application, video'!G80,"AAAAAD/r75c=")</f>
        <v>#VALUE!</v>
      </c>
      <c r="EW18" t="e">
        <f>AND('Application, video'!H80,"AAAAAD/r75g=")</f>
        <v>#VALUE!</v>
      </c>
      <c r="EX18" t="e">
        <f>AND('Application, video'!I80,"AAAAAD/r75k=")</f>
        <v>#VALUE!</v>
      </c>
      <c r="EY18" t="e">
        <f>AND('Application, video'!J80,"AAAAAD/r75o=")</f>
        <v>#VALUE!</v>
      </c>
      <c r="EZ18" t="e">
        <f>AND('Application, video'!K80,"AAAAAD/r75s=")</f>
        <v>#VALUE!</v>
      </c>
      <c r="FA18" t="e">
        <f>AND('Application, video'!L80,"AAAAAD/r75w=")</f>
        <v>#VALUE!</v>
      </c>
      <c r="FB18" t="e">
        <f>AND('Application, video'!M80,"AAAAAD/r750=")</f>
        <v>#VALUE!</v>
      </c>
      <c r="FC18" t="e">
        <f>AND('Application, video'!N80,"AAAAAD/r754=")</f>
        <v>#VALUE!</v>
      </c>
      <c r="FD18">
        <f>IF('Application, video'!81:81,"AAAAAD/r758=",0)</f>
        <v>0</v>
      </c>
      <c r="FE18" t="e">
        <f>AND('Application, video'!A81,"AAAAAD/r76A=")</f>
        <v>#VALUE!</v>
      </c>
      <c r="FF18" t="e">
        <f>AND('Application, video'!B81,"AAAAAD/r76E=")</f>
        <v>#VALUE!</v>
      </c>
      <c r="FG18" t="e">
        <f>AND('Application, video'!C81,"AAAAAD/r76I=")</f>
        <v>#VALUE!</v>
      </c>
      <c r="FH18" t="e">
        <f>AND('Application, video'!D81,"AAAAAD/r76M=")</f>
        <v>#VALUE!</v>
      </c>
      <c r="FI18" t="e">
        <f>AND('Application, video'!E81,"AAAAAD/r76Q=")</f>
        <v>#VALUE!</v>
      </c>
      <c r="FJ18" t="e">
        <f>AND('Application, video'!F81,"AAAAAD/r76U=")</f>
        <v>#VALUE!</v>
      </c>
      <c r="FK18" t="e">
        <f>AND('Application, video'!G81,"AAAAAD/r76Y=")</f>
        <v>#VALUE!</v>
      </c>
      <c r="FL18" t="e">
        <f>AND('Application, video'!H81,"AAAAAD/r76c=")</f>
        <v>#VALUE!</v>
      </c>
      <c r="FM18" t="e">
        <f>AND('Application, video'!I81,"AAAAAD/r76g=")</f>
        <v>#VALUE!</v>
      </c>
      <c r="FN18" t="e">
        <f>AND('Application, video'!J81,"AAAAAD/r76k=")</f>
        <v>#VALUE!</v>
      </c>
      <c r="FO18" t="e">
        <f>AND('Application, video'!K81,"AAAAAD/r76o=")</f>
        <v>#VALUE!</v>
      </c>
      <c r="FP18" t="e">
        <f>AND('Application, video'!L81,"AAAAAD/r76s=")</f>
        <v>#VALUE!</v>
      </c>
      <c r="FQ18" t="e">
        <f>AND('Application, video'!M81,"AAAAAD/r76w=")</f>
        <v>#VALUE!</v>
      </c>
      <c r="FR18" t="e">
        <f>AND('Application, video'!N81,"AAAAAD/r760=")</f>
        <v>#VALUE!</v>
      </c>
      <c r="FS18">
        <f>IF('Application, video'!82:82,"AAAAAD/r764=",0)</f>
        <v>0</v>
      </c>
      <c r="FT18" t="e">
        <f>AND('Application, video'!A82,"AAAAAD/r768=")</f>
        <v>#VALUE!</v>
      </c>
      <c r="FU18" t="e">
        <f>AND('Application, video'!B82,"AAAAAD/r77A=")</f>
        <v>#VALUE!</v>
      </c>
      <c r="FV18" t="e">
        <f>AND('Application, video'!C82,"AAAAAD/r77E=")</f>
        <v>#VALUE!</v>
      </c>
      <c r="FW18" t="e">
        <f>AND('Application, video'!D82,"AAAAAD/r77I=")</f>
        <v>#VALUE!</v>
      </c>
      <c r="FX18" t="e">
        <f>AND('Application, video'!E82,"AAAAAD/r77M=")</f>
        <v>#VALUE!</v>
      </c>
      <c r="FY18" t="e">
        <f>AND('Application, video'!F82,"AAAAAD/r77Q=")</f>
        <v>#VALUE!</v>
      </c>
      <c r="FZ18" t="e">
        <f>AND('Application, video'!G82,"AAAAAD/r77U=")</f>
        <v>#VALUE!</v>
      </c>
      <c r="GA18" t="e">
        <f>AND('Application, video'!H82,"AAAAAD/r77Y=")</f>
        <v>#VALUE!</v>
      </c>
      <c r="GB18" t="e">
        <f>AND('Application, video'!I82,"AAAAAD/r77c=")</f>
        <v>#VALUE!</v>
      </c>
      <c r="GC18" t="e">
        <f>AND('Application, video'!J82,"AAAAAD/r77g=")</f>
        <v>#VALUE!</v>
      </c>
      <c r="GD18" t="e">
        <f>AND('Application, video'!K82,"AAAAAD/r77k=")</f>
        <v>#VALUE!</v>
      </c>
      <c r="GE18" t="e">
        <f>AND('Application, video'!L82,"AAAAAD/r77o=")</f>
        <v>#VALUE!</v>
      </c>
      <c r="GF18" t="e">
        <f>AND('Application, video'!M82,"AAAAAD/r77s=")</f>
        <v>#VALUE!</v>
      </c>
      <c r="GG18" t="e">
        <f>AND('Application, video'!N82,"AAAAAD/r77w=")</f>
        <v>#VALUE!</v>
      </c>
      <c r="GH18">
        <f>IF('Application, video'!83:83,"AAAAAD/r770=",0)</f>
        <v>0</v>
      </c>
      <c r="GI18" t="e">
        <f>AND('Application, video'!A83,"AAAAAD/r774=")</f>
        <v>#VALUE!</v>
      </c>
      <c r="GJ18" t="e">
        <f>AND('Application, video'!B83,"AAAAAD/r778=")</f>
        <v>#VALUE!</v>
      </c>
      <c r="GK18" t="e">
        <f>AND('Application, video'!C83,"AAAAAD/r78A=")</f>
        <v>#VALUE!</v>
      </c>
      <c r="GL18" t="e">
        <f>AND('Application, video'!D83,"AAAAAD/r78E=")</f>
        <v>#VALUE!</v>
      </c>
      <c r="GM18" t="e">
        <f>AND('Application, video'!E83,"AAAAAD/r78I=")</f>
        <v>#VALUE!</v>
      </c>
      <c r="GN18" t="e">
        <f>AND('Application, video'!F83,"AAAAAD/r78M=")</f>
        <v>#VALUE!</v>
      </c>
      <c r="GO18" t="e">
        <f>AND('Application, video'!G83,"AAAAAD/r78Q=")</f>
        <v>#VALUE!</v>
      </c>
      <c r="GP18" t="e">
        <f>AND('Application, video'!H83,"AAAAAD/r78U=")</f>
        <v>#VALUE!</v>
      </c>
      <c r="GQ18" t="e">
        <f>AND('Application, video'!I83,"AAAAAD/r78Y=")</f>
        <v>#VALUE!</v>
      </c>
      <c r="GR18" t="e">
        <f>AND('Application, video'!J83,"AAAAAD/r78c=")</f>
        <v>#VALUE!</v>
      </c>
      <c r="GS18" t="e">
        <f>AND('Application, video'!K83,"AAAAAD/r78g=")</f>
        <v>#VALUE!</v>
      </c>
      <c r="GT18" t="e">
        <f>AND('Application, video'!L83,"AAAAAD/r78k=")</f>
        <v>#VALUE!</v>
      </c>
      <c r="GU18" t="e">
        <f>AND('Application, video'!M83,"AAAAAD/r78o=")</f>
        <v>#VALUE!</v>
      </c>
      <c r="GV18" t="e">
        <f>AND('Application, video'!N83,"AAAAAD/r78s=")</f>
        <v>#VALUE!</v>
      </c>
      <c r="GW18">
        <f>IF('Application, video'!84:84,"AAAAAD/r78w=",0)</f>
        <v>0</v>
      </c>
      <c r="GX18" t="e">
        <f>AND('Application, video'!A84,"AAAAAD/r780=")</f>
        <v>#VALUE!</v>
      </c>
      <c r="GY18" t="e">
        <f>AND('Application, video'!B84,"AAAAAD/r784=")</f>
        <v>#VALUE!</v>
      </c>
      <c r="GZ18" t="e">
        <f>AND('Application, video'!C84,"AAAAAD/r788=")</f>
        <v>#VALUE!</v>
      </c>
      <c r="HA18" t="e">
        <f>AND('Application, video'!D84,"AAAAAD/r79A=")</f>
        <v>#VALUE!</v>
      </c>
      <c r="HB18" t="e">
        <f>AND('Application, video'!E84,"AAAAAD/r79E=")</f>
        <v>#VALUE!</v>
      </c>
      <c r="HC18" t="e">
        <f>AND('Application, video'!F84,"AAAAAD/r79I=")</f>
        <v>#VALUE!</v>
      </c>
      <c r="HD18" t="e">
        <f>AND('Application, video'!G84,"AAAAAD/r79M=")</f>
        <v>#VALUE!</v>
      </c>
      <c r="HE18" t="e">
        <f>AND('Application, video'!H84,"AAAAAD/r79Q=")</f>
        <v>#VALUE!</v>
      </c>
      <c r="HF18" t="e">
        <f>AND('Application, video'!I84,"AAAAAD/r79U=")</f>
        <v>#VALUE!</v>
      </c>
      <c r="HG18" t="e">
        <f>AND('Application, video'!J84,"AAAAAD/r79Y=")</f>
        <v>#VALUE!</v>
      </c>
      <c r="HH18" t="e">
        <f>AND('Application, video'!K84,"AAAAAD/r79c=")</f>
        <v>#VALUE!</v>
      </c>
      <c r="HI18" t="e">
        <f>AND('Application, video'!L84,"AAAAAD/r79g=")</f>
        <v>#VALUE!</v>
      </c>
      <c r="HJ18" t="e">
        <f>AND('Application, video'!M84,"AAAAAD/r79k=")</f>
        <v>#VALUE!</v>
      </c>
      <c r="HK18" t="e">
        <f>AND('Application, video'!N84,"AAAAAD/r79o=")</f>
        <v>#VALUE!</v>
      </c>
      <c r="HL18">
        <f>IF('Application, video'!85:85,"AAAAAD/r79s=",0)</f>
        <v>0</v>
      </c>
      <c r="HM18" t="e">
        <f>AND('Application, video'!A85,"AAAAAD/r79w=")</f>
        <v>#VALUE!</v>
      </c>
      <c r="HN18" t="e">
        <f>AND('Application, video'!B85,"AAAAAD/r790=")</f>
        <v>#VALUE!</v>
      </c>
      <c r="HO18" t="e">
        <f>AND('Application, video'!C85,"AAAAAD/r794=")</f>
        <v>#VALUE!</v>
      </c>
      <c r="HP18" t="e">
        <f>AND('Application, video'!D85,"AAAAAD/r798=")</f>
        <v>#VALUE!</v>
      </c>
      <c r="HQ18" t="e">
        <f>AND('Application, video'!E85,"AAAAAD/r7+A=")</f>
        <v>#VALUE!</v>
      </c>
      <c r="HR18" t="e">
        <f>AND('Application, video'!F85,"AAAAAD/r7+E=")</f>
        <v>#VALUE!</v>
      </c>
      <c r="HS18" t="e">
        <f>AND('Application, video'!G85,"AAAAAD/r7+I=")</f>
        <v>#VALUE!</v>
      </c>
      <c r="HT18" t="e">
        <f>AND('Application, video'!H85,"AAAAAD/r7+M=")</f>
        <v>#VALUE!</v>
      </c>
      <c r="HU18" t="e">
        <f>AND('Application, video'!I85,"AAAAAD/r7+Q=")</f>
        <v>#VALUE!</v>
      </c>
      <c r="HV18" t="e">
        <f>AND('Application, video'!J85,"AAAAAD/r7+U=")</f>
        <v>#VALUE!</v>
      </c>
      <c r="HW18" t="e">
        <f>AND('Application, video'!K85,"AAAAAD/r7+Y=")</f>
        <v>#VALUE!</v>
      </c>
      <c r="HX18" t="e">
        <f>AND('Application, video'!L85,"AAAAAD/r7+c=")</f>
        <v>#VALUE!</v>
      </c>
      <c r="HY18" t="e">
        <f>AND('Application, video'!M85,"AAAAAD/r7+g=")</f>
        <v>#VALUE!</v>
      </c>
      <c r="HZ18" t="e">
        <f>AND('Application, video'!N85,"AAAAAD/r7+k=")</f>
        <v>#VALUE!</v>
      </c>
      <c r="IA18">
        <f>IF('Application, video'!86:86,"AAAAAD/r7+o=",0)</f>
        <v>0</v>
      </c>
      <c r="IB18" t="e">
        <f>AND('Application, video'!A86,"AAAAAD/r7+s=")</f>
        <v>#VALUE!</v>
      </c>
      <c r="IC18" t="e">
        <f>AND('Application, video'!B86,"AAAAAD/r7+w=")</f>
        <v>#VALUE!</v>
      </c>
      <c r="ID18" t="e">
        <f>AND('Application, video'!C86,"AAAAAD/r7+0=")</f>
        <v>#VALUE!</v>
      </c>
      <c r="IE18" t="e">
        <f>AND('Application, video'!D86,"AAAAAD/r7+4=")</f>
        <v>#VALUE!</v>
      </c>
      <c r="IF18" t="e">
        <f>AND('Application, video'!E86,"AAAAAD/r7+8=")</f>
        <v>#VALUE!</v>
      </c>
      <c r="IG18" t="e">
        <f>AND('Application, video'!F86,"AAAAAD/r7/A=")</f>
        <v>#VALUE!</v>
      </c>
      <c r="IH18" t="e">
        <f>AND('Application, video'!G86,"AAAAAD/r7/E=")</f>
        <v>#VALUE!</v>
      </c>
      <c r="II18" t="e">
        <f>AND('Application, video'!H86,"AAAAAD/r7/I=")</f>
        <v>#VALUE!</v>
      </c>
      <c r="IJ18" t="e">
        <f>AND('Application, video'!I86,"AAAAAD/r7/M=")</f>
        <v>#VALUE!</v>
      </c>
      <c r="IK18" t="e">
        <f>AND('Application, video'!J86,"AAAAAD/r7/Q=")</f>
        <v>#VALUE!</v>
      </c>
      <c r="IL18" t="e">
        <f>AND('Application, video'!K86,"AAAAAD/r7/U=")</f>
        <v>#VALUE!</v>
      </c>
      <c r="IM18" t="e">
        <f>AND('Application, video'!L86,"AAAAAD/r7/Y=")</f>
        <v>#VALUE!</v>
      </c>
      <c r="IN18" t="e">
        <f>AND('Application, video'!M86,"AAAAAD/r7/c=")</f>
        <v>#VALUE!</v>
      </c>
      <c r="IO18" t="e">
        <f>AND('Application, video'!N86,"AAAAAD/r7/g=")</f>
        <v>#VALUE!</v>
      </c>
      <c r="IP18">
        <f>IF('Application, video'!87:87,"AAAAAD/r7/k=",0)</f>
        <v>0</v>
      </c>
      <c r="IQ18" t="e">
        <f>AND('Application, video'!A87,"AAAAAD/r7/o=")</f>
        <v>#VALUE!</v>
      </c>
      <c r="IR18" t="e">
        <f>AND('Application, video'!B87,"AAAAAD/r7/s=")</f>
        <v>#VALUE!</v>
      </c>
      <c r="IS18" t="e">
        <f>AND('Application, video'!C87,"AAAAAD/r7/w=")</f>
        <v>#VALUE!</v>
      </c>
      <c r="IT18" t="e">
        <f>AND('Application, video'!D87,"AAAAAD/r7/0=")</f>
        <v>#VALUE!</v>
      </c>
      <c r="IU18" t="e">
        <f>AND('Application, video'!E87,"AAAAAD/r7/4=")</f>
        <v>#VALUE!</v>
      </c>
      <c r="IV18" t="e">
        <f>AND('Application, video'!F87,"AAAAAD/r7/8=")</f>
        <v>#VALUE!</v>
      </c>
    </row>
    <row r="19" spans="1:256" ht="12.75">
      <c r="A19" t="e">
        <f>AND('Application, video'!G87,"AAAAAH8L5QA=")</f>
        <v>#VALUE!</v>
      </c>
      <c r="B19" t="e">
        <f>AND('Application, video'!H87,"AAAAAH8L5QE=")</f>
        <v>#VALUE!</v>
      </c>
      <c r="C19" t="e">
        <f>AND('Application, video'!I87,"AAAAAH8L5QI=")</f>
        <v>#VALUE!</v>
      </c>
      <c r="D19" t="e">
        <f>AND('Application, video'!J87,"AAAAAH8L5QM=")</f>
        <v>#VALUE!</v>
      </c>
      <c r="E19" t="e">
        <f>AND('Application, video'!K87,"AAAAAH8L5QQ=")</f>
        <v>#VALUE!</v>
      </c>
      <c r="F19" t="e">
        <f>AND('Application, video'!L87,"AAAAAH8L5QU=")</f>
        <v>#VALUE!</v>
      </c>
      <c r="G19" t="e">
        <f>AND('Application, video'!M87,"AAAAAH8L5QY=")</f>
        <v>#VALUE!</v>
      </c>
      <c r="H19" t="e">
        <f>AND('Application, video'!N87,"AAAAAH8L5Qc=")</f>
        <v>#VALUE!</v>
      </c>
      <c r="I19">
        <f>IF('Application, video'!88:88,"AAAAAH8L5Qg=",0)</f>
        <v>0</v>
      </c>
      <c r="J19" t="e">
        <f>AND('Application, video'!A88,"AAAAAH8L5Qk=")</f>
        <v>#VALUE!</v>
      </c>
      <c r="K19" t="e">
        <f>AND('Application, video'!B88,"AAAAAH8L5Qo=")</f>
        <v>#VALUE!</v>
      </c>
      <c r="L19" t="e">
        <f>AND('Application, video'!C88,"AAAAAH8L5Qs=")</f>
        <v>#VALUE!</v>
      </c>
      <c r="M19" t="e">
        <f>AND('Application, video'!D88,"AAAAAH8L5Qw=")</f>
        <v>#VALUE!</v>
      </c>
      <c r="N19" t="e">
        <f>AND('Application, video'!E88,"AAAAAH8L5Q0=")</f>
        <v>#VALUE!</v>
      </c>
      <c r="O19" t="e">
        <f>AND('Application, video'!F88,"AAAAAH8L5Q4=")</f>
        <v>#VALUE!</v>
      </c>
      <c r="P19" t="e">
        <f>AND('Application, video'!G88,"AAAAAH8L5Q8=")</f>
        <v>#VALUE!</v>
      </c>
      <c r="Q19" t="e">
        <f>AND('Application, video'!H88,"AAAAAH8L5RA=")</f>
        <v>#VALUE!</v>
      </c>
      <c r="R19" t="e">
        <f>AND('Application, video'!I88,"AAAAAH8L5RE=")</f>
        <v>#VALUE!</v>
      </c>
      <c r="S19" t="e">
        <f>AND('Application, video'!J88,"AAAAAH8L5RI=")</f>
        <v>#VALUE!</v>
      </c>
      <c r="T19" t="e">
        <f>AND('Application, video'!K88,"AAAAAH8L5RM=")</f>
        <v>#VALUE!</v>
      </c>
      <c r="U19" t="e">
        <f>AND('Application, video'!L88,"AAAAAH8L5RQ=")</f>
        <v>#VALUE!</v>
      </c>
      <c r="V19" t="e">
        <f>AND('Application, video'!M88,"AAAAAH8L5RU=")</f>
        <v>#VALUE!</v>
      </c>
      <c r="W19" t="e">
        <f>AND('Application, video'!N88,"AAAAAH8L5RY=")</f>
        <v>#VALUE!</v>
      </c>
      <c r="X19">
        <f>IF('Application, video'!89:89,"AAAAAH8L5Rc=",0)</f>
        <v>0</v>
      </c>
      <c r="Y19" t="e">
        <f>AND('Application, video'!A89,"AAAAAH8L5Rg=")</f>
        <v>#VALUE!</v>
      </c>
      <c r="Z19" t="e">
        <f>AND('Application, video'!B89,"AAAAAH8L5Rk=")</f>
        <v>#VALUE!</v>
      </c>
      <c r="AA19" t="e">
        <f>AND('Application, video'!C89,"AAAAAH8L5Ro=")</f>
        <v>#VALUE!</v>
      </c>
      <c r="AB19" t="e">
        <f>AND('Application, video'!D89,"AAAAAH8L5Rs=")</f>
        <v>#VALUE!</v>
      </c>
      <c r="AC19" t="e">
        <f>AND('Application, video'!E89,"AAAAAH8L5Rw=")</f>
        <v>#VALUE!</v>
      </c>
      <c r="AD19" t="e">
        <f>AND('Application, video'!F89,"AAAAAH8L5R0=")</f>
        <v>#VALUE!</v>
      </c>
      <c r="AE19" t="e">
        <f>AND('Application, video'!G89,"AAAAAH8L5R4=")</f>
        <v>#VALUE!</v>
      </c>
      <c r="AF19" t="e">
        <f>AND('Application, video'!H89,"AAAAAH8L5R8=")</f>
        <v>#VALUE!</v>
      </c>
      <c r="AG19" t="e">
        <f>AND('Application, video'!I89,"AAAAAH8L5SA=")</f>
        <v>#VALUE!</v>
      </c>
      <c r="AH19" t="e">
        <f>AND('Application, video'!J89,"AAAAAH8L5SE=")</f>
        <v>#VALUE!</v>
      </c>
      <c r="AI19" t="e">
        <f>AND('Application, video'!K89,"AAAAAH8L5SI=")</f>
        <v>#VALUE!</v>
      </c>
      <c r="AJ19" t="e">
        <f>AND('Application, video'!L89,"AAAAAH8L5SM=")</f>
        <v>#VALUE!</v>
      </c>
      <c r="AK19" t="e">
        <f>AND('Application, video'!M89,"AAAAAH8L5SQ=")</f>
        <v>#VALUE!</v>
      </c>
      <c r="AL19" t="e">
        <f>AND('Application, video'!N89,"AAAAAH8L5SU=")</f>
        <v>#VALUE!</v>
      </c>
      <c r="AM19">
        <f>IF('Application, video'!90:90,"AAAAAH8L5SY=",0)</f>
        <v>0</v>
      </c>
      <c r="AN19" t="e">
        <f>AND('Application, video'!A90,"AAAAAH8L5Sc=")</f>
        <v>#VALUE!</v>
      </c>
      <c r="AO19" t="e">
        <f>AND('Application, video'!B90,"AAAAAH8L5Sg=")</f>
        <v>#VALUE!</v>
      </c>
      <c r="AP19" t="e">
        <f>AND('Application, video'!C90,"AAAAAH8L5Sk=")</f>
        <v>#VALUE!</v>
      </c>
      <c r="AQ19" t="e">
        <f>AND('Application, video'!D90,"AAAAAH8L5So=")</f>
        <v>#VALUE!</v>
      </c>
      <c r="AR19" t="e">
        <f>AND('Application, video'!E90,"AAAAAH8L5Ss=")</f>
        <v>#VALUE!</v>
      </c>
      <c r="AS19" t="e">
        <f>AND('Application, video'!F90,"AAAAAH8L5Sw=")</f>
        <v>#VALUE!</v>
      </c>
      <c r="AT19" t="e">
        <f>AND('Application, video'!G90,"AAAAAH8L5S0=")</f>
        <v>#VALUE!</v>
      </c>
      <c r="AU19" t="e">
        <f>AND('Application, video'!H90,"AAAAAH8L5S4=")</f>
        <v>#VALUE!</v>
      </c>
      <c r="AV19" t="e">
        <f>AND('Application, video'!I90,"AAAAAH8L5S8=")</f>
        <v>#VALUE!</v>
      </c>
      <c r="AW19" t="e">
        <f>AND('Application, video'!J90,"AAAAAH8L5TA=")</f>
        <v>#VALUE!</v>
      </c>
      <c r="AX19" t="e">
        <f>AND('Application, video'!K90,"AAAAAH8L5TE=")</f>
        <v>#VALUE!</v>
      </c>
      <c r="AY19" t="e">
        <f>AND('Application, video'!L90,"AAAAAH8L5TI=")</f>
        <v>#VALUE!</v>
      </c>
      <c r="AZ19" t="e">
        <f>AND('Application, video'!M90,"AAAAAH8L5TM=")</f>
        <v>#VALUE!</v>
      </c>
      <c r="BA19" t="e">
        <f>AND('Application, video'!N90,"AAAAAH8L5TQ=")</f>
        <v>#VALUE!</v>
      </c>
      <c r="BB19">
        <f>IF('Application, video'!91:91,"AAAAAH8L5TU=",0)</f>
        <v>0</v>
      </c>
      <c r="BC19" t="e">
        <f>AND('Application, video'!A91,"AAAAAH8L5TY=")</f>
        <v>#VALUE!</v>
      </c>
      <c r="BD19" t="e">
        <f>AND('Application, video'!B91,"AAAAAH8L5Tc=")</f>
        <v>#VALUE!</v>
      </c>
      <c r="BE19" t="e">
        <f>AND('Application, video'!C91,"AAAAAH8L5Tg=")</f>
        <v>#VALUE!</v>
      </c>
      <c r="BF19" t="e">
        <f>AND('Application, video'!D91,"AAAAAH8L5Tk=")</f>
        <v>#VALUE!</v>
      </c>
      <c r="BG19" t="e">
        <f>AND('Application, video'!E91,"AAAAAH8L5To=")</f>
        <v>#VALUE!</v>
      </c>
      <c r="BH19" t="e">
        <f>AND('Application, video'!F91,"AAAAAH8L5Ts=")</f>
        <v>#VALUE!</v>
      </c>
      <c r="BI19" t="e">
        <f>AND('Application, video'!G91,"AAAAAH8L5Tw=")</f>
        <v>#VALUE!</v>
      </c>
      <c r="BJ19" t="e">
        <f>AND('Application, video'!H91,"AAAAAH8L5T0=")</f>
        <v>#VALUE!</v>
      </c>
      <c r="BK19" t="e">
        <f>AND('Application, video'!I91,"AAAAAH8L5T4=")</f>
        <v>#VALUE!</v>
      </c>
      <c r="BL19" t="e">
        <f>AND('Application, video'!J91,"AAAAAH8L5T8=")</f>
        <v>#VALUE!</v>
      </c>
      <c r="BM19" t="e">
        <f>AND('Application, video'!K91,"AAAAAH8L5UA=")</f>
        <v>#VALUE!</v>
      </c>
      <c r="BN19" t="e">
        <f>AND('Application, video'!L91,"AAAAAH8L5UE=")</f>
        <v>#VALUE!</v>
      </c>
      <c r="BO19" t="e">
        <f>AND('Application, video'!M91,"AAAAAH8L5UI=")</f>
        <v>#VALUE!</v>
      </c>
      <c r="BP19" t="e">
        <f>AND('Application, video'!N91,"AAAAAH8L5UM=")</f>
        <v>#VALUE!</v>
      </c>
      <c r="BQ19">
        <f>IF('Application, video'!92:92,"AAAAAH8L5UQ=",0)</f>
        <v>0</v>
      </c>
      <c r="BR19" t="e">
        <f>AND('Application, video'!A92,"AAAAAH8L5UU=")</f>
        <v>#VALUE!</v>
      </c>
      <c r="BS19" t="e">
        <f>AND('Application, video'!B92,"AAAAAH8L5UY=")</f>
        <v>#VALUE!</v>
      </c>
      <c r="BT19" t="e">
        <f>AND('Application, video'!C92,"AAAAAH8L5Uc=")</f>
        <v>#VALUE!</v>
      </c>
      <c r="BU19" t="e">
        <f>AND('Application, video'!D92,"AAAAAH8L5Ug=")</f>
        <v>#VALUE!</v>
      </c>
      <c r="BV19" t="e">
        <f>AND('Application, video'!E92,"AAAAAH8L5Uk=")</f>
        <v>#VALUE!</v>
      </c>
      <c r="BW19" t="e">
        <f>AND('Application, video'!F92,"AAAAAH8L5Uo=")</f>
        <v>#VALUE!</v>
      </c>
      <c r="BX19" t="e">
        <f>AND('Application, video'!G92,"AAAAAH8L5Us=")</f>
        <v>#VALUE!</v>
      </c>
      <c r="BY19" t="e">
        <f>AND('Application, video'!H92,"AAAAAH8L5Uw=")</f>
        <v>#VALUE!</v>
      </c>
      <c r="BZ19" t="e">
        <f>AND('Application, video'!I92,"AAAAAH8L5U0=")</f>
        <v>#VALUE!</v>
      </c>
      <c r="CA19" t="e">
        <f>AND('Application, video'!J92,"AAAAAH8L5U4=")</f>
        <v>#VALUE!</v>
      </c>
      <c r="CB19" t="e">
        <f>AND('Application, video'!K92,"AAAAAH8L5U8=")</f>
        <v>#VALUE!</v>
      </c>
      <c r="CC19" t="e">
        <f>AND('Application, video'!L92,"AAAAAH8L5VA=")</f>
        <v>#VALUE!</v>
      </c>
      <c r="CD19" t="e">
        <f>AND('Application, video'!M92,"AAAAAH8L5VE=")</f>
        <v>#VALUE!</v>
      </c>
      <c r="CE19" t="e">
        <f>AND('Application, video'!N92,"AAAAAH8L5VI=")</f>
        <v>#VALUE!</v>
      </c>
      <c r="CF19">
        <f>IF('Application, video'!93:93,"AAAAAH8L5VM=",0)</f>
        <v>0</v>
      </c>
      <c r="CG19" t="e">
        <f>AND('Application, video'!A93,"AAAAAH8L5VQ=")</f>
        <v>#VALUE!</v>
      </c>
      <c r="CH19" t="e">
        <f>AND('Application, video'!B93,"AAAAAH8L5VU=")</f>
        <v>#VALUE!</v>
      </c>
      <c r="CI19" t="e">
        <f>AND('Application, video'!C93,"AAAAAH8L5VY=")</f>
        <v>#VALUE!</v>
      </c>
      <c r="CJ19" t="e">
        <f>AND('Application, video'!D93,"AAAAAH8L5Vc=")</f>
        <v>#VALUE!</v>
      </c>
      <c r="CK19" t="e">
        <f>AND('Application, video'!E93,"AAAAAH8L5Vg=")</f>
        <v>#VALUE!</v>
      </c>
      <c r="CL19" t="e">
        <f>AND('Application, video'!F93,"AAAAAH8L5Vk=")</f>
        <v>#VALUE!</v>
      </c>
      <c r="CM19" t="e">
        <f>AND('Application, video'!G93,"AAAAAH8L5Vo=")</f>
        <v>#VALUE!</v>
      </c>
      <c r="CN19" t="e">
        <f>AND('Application, video'!H93,"AAAAAH8L5Vs=")</f>
        <v>#VALUE!</v>
      </c>
      <c r="CO19" t="e">
        <f>AND('Application, video'!I93,"AAAAAH8L5Vw=")</f>
        <v>#VALUE!</v>
      </c>
      <c r="CP19" t="e">
        <f>AND('Application, video'!J93,"AAAAAH8L5V0=")</f>
        <v>#VALUE!</v>
      </c>
      <c r="CQ19" t="e">
        <f>AND('Application, video'!K93,"AAAAAH8L5V4=")</f>
        <v>#VALUE!</v>
      </c>
      <c r="CR19" t="e">
        <f>AND('Application, video'!L93,"AAAAAH8L5V8=")</f>
        <v>#VALUE!</v>
      </c>
      <c r="CS19" t="e">
        <f>AND('Application, video'!M93,"AAAAAH8L5WA=")</f>
        <v>#VALUE!</v>
      </c>
      <c r="CT19" t="e">
        <f>AND('Application, video'!N93,"AAAAAH8L5WE=")</f>
        <v>#VALUE!</v>
      </c>
      <c r="CU19">
        <f>IF('Application, video'!94:94,"AAAAAH8L5WI=",0)</f>
        <v>0</v>
      </c>
      <c r="CV19" t="e">
        <f>AND('Application, video'!A94,"AAAAAH8L5WM=")</f>
        <v>#VALUE!</v>
      </c>
      <c r="CW19" t="e">
        <f>AND('Application, video'!B94,"AAAAAH8L5WQ=")</f>
        <v>#VALUE!</v>
      </c>
      <c r="CX19" t="e">
        <f>AND('Application, video'!C94,"AAAAAH8L5WU=")</f>
        <v>#VALUE!</v>
      </c>
      <c r="CY19" t="e">
        <f>AND('Application, video'!D94,"AAAAAH8L5WY=")</f>
        <v>#VALUE!</v>
      </c>
      <c r="CZ19" t="e">
        <f>AND('Application, video'!E94,"AAAAAH8L5Wc=")</f>
        <v>#VALUE!</v>
      </c>
      <c r="DA19" t="e">
        <f>AND('Application, video'!F94,"AAAAAH8L5Wg=")</f>
        <v>#VALUE!</v>
      </c>
      <c r="DB19" t="e">
        <f>AND('Application, video'!G94,"AAAAAH8L5Wk=")</f>
        <v>#VALUE!</v>
      </c>
      <c r="DC19" t="e">
        <f>AND('Application, video'!H94,"AAAAAH8L5Wo=")</f>
        <v>#VALUE!</v>
      </c>
      <c r="DD19" t="e">
        <f>AND('Application, video'!I94,"AAAAAH8L5Ws=")</f>
        <v>#VALUE!</v>
      </c>
      <c r="DE19" t="e">
        <f>AND('Application, video'!J94,"AAAAAH8L5Ww=")</f>
        <v>#VALUE!</v>
      </c>
      <c r="DF19" t="e">
        <f>AND('Application, video'!K94,"AAAAAH8L5W0=")</f>
        <v>#VALUE!</v>
      </c>
      <c r="DG19" t="e">
        <f>AND('Application, video'!L94,"AAAAAH8L5W4=")</f>
        <v>#VALUE!</v>
      </c>
      <c r="DH19" t="e">
        <f>AND('Application, video'!M94,"AAAAAH8L5W8=")</f>
        <v>#VALUE!</v>
      </c>
      <c r="DI19" t="e">
        <f>AND('Application, video'!N94,"AAAAAH8L5XA=")</f>
        <v>#VALUE!</v>
      </c>
      <c r="DJ19">
        <f>IF('Application, video'!95:95,"AAAAAH8L5XE=",0)</f>
        <v>0</v>
      </c>
      <c r="DK19" t="e">
        <f>AND('Application, video'!A95,"AAAAAH8L5XI=")</f>
        <v>#VALUE!</v>
      </c>
      <c r="DL19" t="e">
        <f>AND('Application, video'!B95,"AAAAAH8L5XM=")</f>
        <v>#VALUE!</v>
      </c>
      <c r="DM19" t="e">
        <f>AND('Application, video'!C95,"AAAAAH8L5XQ=")</f>
        <v>#VALUE!</v>
      </c>
      <c r="DN19" t="e">
        <f>AND('Application, video'!D95,"AAAAAH8L5XU=")</f>
        <v>#VALUE!</v>
      </c>
      <c r="DO19" t="e">
        <f>AND('Application, video'!E95,"AAAAAH8L5XY=")</f>
        <v>#VALUE!</v>
      </c>
      <c r="DP19" t="e">
        <f>AND('Application, video'!F95,"AAAAAH8L5Xc=")</f>
        <v>#VALUE!</v>
      </c>
      <c r="DQ19" t="e">
        <f>AND('Application, video'!G95,"AAAAAH8L5Xg=")</f>
        <v>#VALUE!</v>
      </c>
      <c r="DR19" t="e">
        <f>AND('Application, video'!H95,"AAAAAH8L5Xk=")</f>
        <v>#VALUE!</v>
      </c>
      <c r="DS19" t="e">
        <f>AND('Application, video'!I95,"AAAAAH8L5Xo=")</f>
        <v>#VALUE!</v>
      </c>
      <c r="DT19" t="e">
        <f>AND('Application, video'!J95,"AAAAAH8L5Xs=")</f>
        <v>#VALUE!</v>
      </c>
      <c r="DU19" t="e">
        <f>AND('Application, video'!K95,"AAAAAH8L5Xw=")</f>
        <v>#VALUE!</v>
      </c>
      <c r="DV19" t="e">
        <f>AND('Application, video'!L95,"AAAAAH8L5X0=")</f>
        <v>#VALUE!</v>
      </c>
      <c r="DW19" t="e">
        <f>AND('Application, video'!M95,"AAAAAH8L5X4=")</f>
        <v>#VALUE!</v>
      </c>
      <c r="DX19" t="e">
        <f>AND('Application, video'!N95,"AAAAAH8L5X8=")</f>
        <v>#VALUE!</v>
      </c>
      <c r="DY19">
        <f>IF('Application, video'!96:96,"AAAAAH8L5YA=",0)</f>
        <v>0</v>
      </c>
      <c r="DZ19" t="e">
        <f>AND('Application, video'!A96,"AAAAAH8L5YE=")</f>
        <v>#VALUE!</v>
      </c>
      <c r="EA19" t="e">
        <f>AND('Application, video'!B96,"AAAAAH8L5YI=")</f>
        <v>#VALUE!</v>
      </c>
      <c r="EB19" t="e">
        <f>AND('Application, video'!C96,"AAAAAH8L5YM=")</f>
        <v>#VALUE!</v>
      </c>
      <c r="EC19" t="e">
        <f>AND('Application, video'!D96,"AAAAAH8L5YQ=")</f>
        <v>#VALUE!</v>
      </c>
      <c r="ED19" t="e">
        <f>AND('Application, video'!E96,"AAAAAH8L5YU=")</f>
        <v>#VALUE!</v>
      </c>
      <c r="EE19" t="e">
        <f>AND('Application, video'!F96,"AAAAAH8L5YY=")</f>
        <v>#VALUE!</v>
      </c>
      <c r="EF19" t="e">
        <f>AND('Application, video'!G96,"AAAAAH8L5Yc=")</f>
        <v>#VALUE!</v>
      </c>
      <c r="EG19" t="e">
        <f>AND('Application, video'!H96,"AAAAAH8L5Yg=")</f>
        <v>#VALUE!</v>
      </c>
      <c r="EH19" t="e">
        <f>AND('Application, video'!I96,"AAAAAH8L5Yk=")</f>
        <v>#VALUE!</v>
      </c>
      <c r="EI19" t="e">
        <f>AND('Application, video'!J96,"AAAAAH8L5Yo=")</f>
        <v>#VALUE!</v>
      </c>
      <c r="EJ19" t="e">
        <f>AND('Application, video'!K96,"AAAAAH8L5Ys=")</f>
        <v>#VALUE!</v>
      </c>
      <c r="EK19" t="e">
        <f>AND('Application, video'!L96,"AAAAAH8L5Yw=")</f>
        <v>#VALUE!</v>
      </c>
      <c r="EL19" t="e">
        <f>AND('Application, video'!M96,"AAAAAH8L5Y0=")</f>
        <v>#VALUE!</v>
      </c>
      <c r="EM19" t="e">
        <f>AND('Application, video'!N96,"AAAAAH8L5Y4=")</f>
        <v>#VALUE!</v>
      </c>
      <c r="EN19">
        <f>IF('Application, video'!97:97,"AAAAAH8L5Y8=",0)</f>
        <v>0</v>
      </c>
      <c r="EO19" t="e">
        <f>AND('Application, video'!A97,"AAAAAH8L5ZA=")</f>
        <v>#VALUE!</v>
      </c>
      <c r="EP19" t="e">
        <f>AND('Application, video'!B97,"AAAAAH8L5ZE=")</f>
        <v>#VALUE!</v>
      </c>
      <c r="EQ19" t="e">
        <f>AND('Application, video'!C97,"AAAAAH8L5ZI=")</f>
        <v>#VALUE!</v>
      </c>
      <c r="ER19" t="e">
        <f>AND('Application, video'!D97,"AAAAAH8L5ZM=")</f>
        <v>#VALUE!</v>
      </c>
      <c r="ES19" t="e">
        <f>AND('Application, video'!E97,"AAAAAH8L5ZQ=")</f>
        <v>#VALUE!</v>
      </c>
      <c r="ET19" t="e">
        <f>AND('Application, video'!F97,"AAAAAH8L5ZU=")</f>
        <v>#VALUE!</v>
      </c>
      <c r="EU19" t="e">
        <f>AND('Application, video'!G97,"AAAAAH8L5ZY=")</f>
        <v>#VALUE!</v>
      </c>
      <c r="EV19" t="e">
        <f>AND('Application, video'!H97,"AAAAAH8L5Zc=")</f>
        <v>#VALUE!</v>
      </c>
      <c r="EW19" t="e">
        <f>AND('Application, video'!I97,"AAAAAH8L5Zg=")</f>
        <v>#VALUE!</v>
      </c>
      <c r="EX19" t="e">
        <f>AND('Application, video'!J97,"AAAAAH8L5Zk=")</f>
        <v>#VALUE!</v>
      </c>
      <c r="EY19" t="e">
        <f>AND('Application, video'!K97,"AAAAAH8L5Zo=")</f>
        <v>#VALUE!</v>
      </c>
      <c r="EZ19" t="e">
        <f>AND('Application, video'!L97,"AAAAAH8L5Zs=")</f>
        <v>#VALUE!</v>
      </c>
      <c r="FA19" t="e">
        <f>AND('Application, video'!M97,"AAAAAH8L5Zw=")</f>
        <v>#VALUE!</v>
      </c>
      <c r="FB19" t="e">
        <f>AND('Application, video'!N97,"AAAAAH8L5Z0=")</f>
        <v>#VALUE!</v>
      </c>
      <c r="FC19">
        <f>IF('Application, video'!98:98,"AAAAAH8L5Z4=",0)</f>
        <v>0</v>
      </c>
      <c r="FD19" t="e">
        <f>AND('Application, video'!A98,"AAAAAH8L5Z8=")</f>
        <v>#VALUE!</v>
      </c>
      <c r="FE19" t="e">
        <f>AND('Application, video'!B98,"AAAAAH8L5aA=")</f>
        <v>#VALUE!</v>
      </c>
      <c r="FF19" t="e">
        <f>AND('Application, video'!C98,"AAAAAH8L5aE=")</f>
        <v>#VALUE!</v>
      </c>
      <c r="FG19" t="e">
        <f>AND('Application, video'!D98,"AAAAAH8L5aI=")</f>
        <v>#VALUE!</v>
      </c>
      <c r="FH19" t="e">
        <f>AND('Application, video'!E98,"AAAAAH8L5aM=")</f>
        <v>#VALUE!</v>
      </c>
      <c r="FI19" t="e">
        <f>AND('Application, video'!F98,"AAAAAH8L5aQ=")</f>
        <v>#VALUE!</v>
      </c>
      <c r="FJ19" t="e">
        <f>AND('Application, video'!G98,"AAAAAH8L5aU=")</f>
        <v>#VALUE!</v>
      </c>
      <c r="FK19" t="e">
        <f>AND('Application, video'!H98,"AAAAAH8L5aY=")</f>
        <v>#VALUE!</v>
      </c>
      <c r="FL19" t="e">
        <f>AND('Application, video'!I98,"AAAAAH8L5ac=")</f>
        <v>#VALUE!</v>
      </c>
      <c r="FM19" t="e">
        <f>AND('Application, video'!J98,"AAAAAH8L5ag=")</f>
        <v>#VALUE!</v>
      </c>
      <c r="FN19" t="e">
        <f>AND('Application, video'!K98,"AAAAAH8L5ak=")</f>
        <v>#VALUE!</v>
      </c>
      <c r="FO19" t="e">
        <f>AND('Application, video'!L98,"AAAAAH8L5ao=")</f>
        <v>#VALUE!</v>
      </c>
      <c r="FP19" t="e">
        <f>AND('Application, video'!M98,"AAAAAH8L5as=")</f>
        <v>#VALUE!</v>
      </c>
      <c r="FQ19" t="e">
        <f>AND('Application, video'!N98,"AAAAAH8L5aw=")</f>
        <v>#VALUE!</v>
      </c>
      <c r="FR19">
        <f>IF('Application, video'!99:99,"AAAAAH8L5a0=",0)</f>
        <v>0</v>
      </c>
      <c r="FS19" t="e">
        <f>AND('Application, video'!A99,"AAAAAH8L5a4=")</f>
        <v>#VALUE!</v>
      </c>
      <c r="FT19">
        <f>IF('Application, video'!100:100,"AAAAAH8L5a8=",0)</f>
        <v>0</v>
      </c>
      <c r="FU19" t="e">
        <f>AND('Application, video'!A100,"AAAAAH8L5bA=")</f>
        <v>#VALUE!</v>
      </c>
      <c r="FV19">
        <f>IF('Application, video'!101:101,"AAAAAH8L5bE=",0)</f>
        <v>0</v>
      </c>
      <c r="FW19" t="e">
        <f>AND('Application, video'!A101,"AAAAAH8L5bI=")</f>
        <v>#VALUE!</v>
      </c>
      <c r="FX19">
        <f>IF('Application, video'!102:102,"AAAAAH8L5bM=",0)</f>
        <v>0</v>
      </c>
      <c r="FY19" t="e">
        <f>AND('Application, video'!A102,"AAAAAH8L5bQ=")</f>
        <v>#VALUE!</v>
      </c>
      <c r="FZ19">
        <f>IF('Application, video'!103:103,"AAAAAH8L5bU=",0)</f>
        <v>0</v>
      </c>
      <c r="GA19" t="e">
        <f>AND('Application, video'!A103,"AAAAAH8L5bY=")</f>
        <v>#VALUE!</v>
      </c>
      <c r="GB19">
        <f>IF('Application, video'!104:104,"AAAAAH8L5bc=",0)</f>
        <v>0</v>
      </c>
      <c r="GC19" t="e">
        <f>AND('Application, video'!A104,"AAAAAH8L5bg=")</f>
        <v>#VALUE!</v>
      </c>
      <c r="GD19">
        <f>IF('Application, video'!105:105,"AAAAAH8L5bk=",0)</f>
        <v>0</v>
      </c>
      <c r="GE19" t="e">
        <f>AND('Application, video'!A105,"AAAAAH8L5bo=")</f>
        <v>#VALUE!</v>
      </c>
      <c r="GF19">
        <f>IF('Application, video'!106:106,"AAAAAH8L5bs=",0)</f>
        <v>0</v>
      </c>
      <c r="GG19" t="e">
        <f>AND('Application, video'!A106,"AAAAAH8L5bw=")</f>
        <v>#VALUE!</v>
      </c>
      <c r="GH19">
        <f>IF('Application, video'!107:107,"AAAAAH8L5b0=",0)</f>
        <v>0</v>
      </c>
      <c r="GI19" t="e">
        <f>AND('Application, video'!A107,"AAAAAH8L5b4=")</f>
        <v>#VALUE!</v>
      </c>
      <c r="GJ19">
        <f>IF('Application, video'!108:108,"AAAAAH8L5b8=",0)</f>
        <v>0</v>
      </c>
      <c r="GK19" t="e">
        <f>AND('Application, video'!A108,"AAAAAH8L5cA=")</f>
        <v>#VALUE!</v>
      </c>
      <c r="GL19">
        <f>IF('Application, video'!109:109,"AAAAAH8L5cE=",0)</f>
        <v>0</v>
      </c>
      <c r="GM19" t="e">
        <f>AND('Application, video'!A109,"AAAAAH8L5cI=")</f>
        <v>#VALUE!</v>
      </c>
      <c r="GN19">
        <f>IF('Application, video'!110:110,"AAAAAH8L5cM=",0)</f>
        <v>0</v>
      </c>
      <c r="GO19" t="e">
        <f>AND('Application, video'!A110,"AAAAAH8L5cQ=")</f>
        <v>#VALUE!</v>
      </c>
      <c r="GP19">
        <f>IF('Application, video'!111:111,"AAAAAH8L5cU=",0)</f>
        <v>0</v>
      </c>
      <c r="GQ19" t="e">
        <f>AND('Application, video'!A111,"AAAAAH8L5cY=")</f>
        <v>#VALUE!</v>
      </c>
      <c r="GR19">
        <f>IF('Application, video'!112:112,"AAAAAH8L5cc=",0)</f>
        <v>0</v>
      </c>
      <c r="GS19" t="e">
        <f>AND('Application, video'!A112,"AAAAAH8L5cg=")</f>
        <v>#VALUE!</v>
      </c>
      <c r="GT19">
        <f>IF('Application, video'!113:113,"AAAAAH8L5ck=",0)</f>
        <v>0</v>
      </c>
      <c r="GU19" t="e">
        <f>AND('Application, video'!A113,"AAAAAH8L5co=")</f>
        <v>#VALUE!</v>
      </c>
      <c r="GV19">
        <f>IF('Application, video'!114:114,"AAAAAH8L5cs=",0)</f>
        <v>0</v>
      </c>
      <c r="GW19" t="e">
        <f>AND('Application, video'!A114,"AAAAAH8L5cw=")</f>
        <v>#VALUE!</v>
      </c>
      <c r="GX19">
        <f>IF('Application, video'!115:115,"AAAAAH8L5c0=",0)</f>
        <v>0</v>
      </c>
      <c r="GY19" t="e">
        <f>AND('Application, video'!A115,"AAAAAH8L5c4=")</f>
        <v>#VALUE!</v>
      </c>
      <c r="GZ19">
        <f>IF('Application, video'!116:116,"AAAAAH8L5c8=",0)</f>
        <v>0</v>
      </c>
      <c r="HA19" t="e">
        <f>AND('Application, video'!A116,"AAAAAH8L5dA=")</f>
        <v>#VALUE!</v>
      </c>
      <c r="HB19">
        <f>IF('Application, video'!117:117,"AAAAAH8L5dE=",0)</f>
        <v>0</v>
      </c>
      <c r="HC19" t="e">
        <f>AND('Application, video'!A117,"AAAAAH8L5dI=")</f>
        <v>#VALUE!</v>
      </c>
      <c r="HD19">
        <f>IF('Application, video'!118:118,"AAAAAH8L5dM=",0)</f>
        <v>0</v>
      </c>
      <c r="HE19" t="e">
        <f>AND('Application, video'!A118,"AAAAAH8L5dQ=")</f>
        <v>#VALUE!</v>
      </c>
      <c r="HF19">
        <f>IF('Application, video'!119:119,"AAAAAH8L5dU=",0)</f>
        <v>0</v>
      </c>
      <c r="HG19" t="e">
        <f>AND('Application, video'!A119,"AAAAAH8L5dY=")</f>
        <v>#VALUE!</v>
      </c>
      <c r="HH19">
        <f>IF('Application, video'!120:120,"AAAAAH8L5dc=",0)</f>
        <v>0</v>
      </c>
      <c r="HI19" t="e">
        <f>AND('Application, video'!A120,"AAAAAH8L5dg=")</f>
        <v>#VALUE!</v>
      </c>
      <c r="HJ19">
        <f>IF('Application, video'!121:121,"AAAAAH8L5dk=",0)</f>
        <v>0</v>
      </c>
      <c r="HK19" t="e">
        <f>AND('Application, video'!A121,"AAAAAH8L5do=")</f>
        <v>#VALUE!</v>
      </c>
      <c r="HL19">
        <f>IF('Application, video'!122:122,"AAAAAH8L5ds=",0)</f>
        <v>0</v>
      </c>
      <c r="HM19" t="e">
        <f>AND('Application, video'!A122,"AAAAAH8L5dw=")</f>
        <v>#VALUE!</v>
      </c>
      <c r="HN19">
        <f>IF('Application, video'!123:123,"AAAAAH8L5d0=",0)</f>
        <v>0</v>
      </c>
      <c r="HO19" t="e">
        <f>AND('Application, video'!A123,"AAAAAH8L5d4=")</f>
        <v>#VALUE!</v>
      </c>
      <c r="HP19">
        <f>IF('Application, video'!124:124,"AAAAAH8L5d8=",0)</f>
        <v>0</v>
      </c>
      <c r="HQ19" t="e">
        <f>AND('Application, video'!A124,"AAAAAH8L5eA=")</f>
        <v>#VALUE!</v>
      </c>
      <c r="HR19">
        <f>IF('Application, video'!125:125,"AAAAAH8L5eE=",0)</f>
        <v>0</v>
      </c>
      <c r="HS19" t="e">
        <f>AND('Application, video'!A125,"AAAAAH8L5eI=")</f>
        <v>#VALUE!</v>
      </c>
      <c r="HT19">
        <f>IF('Application, video'!126:126,"AAAAAH8L5eM=",0)</f>
        <v>0</v>
      </c>
      <c r="HU19" t="e">
        <f>AND('Application, video'!A126,"AAAAAH8L5eQ=")</f>
        <v>#VALUE!</v>
      </c>
      <c r="HV19">
        <f>IF('Application, video'!127:127,"AAAAAH8L5eU=",0)</f>
        <v>0</v>
      </c>
      <c r="HW19" t="e">
        <f>AND('Application, video'!A127,"AAAAAH8L5eY=")</f>
        <v>#VALUE!</v>
      </c>
      <c r="HX19">
        <f>IF('Application, video'!128:128,"AAAAAH8L5ec=",0)</f>
        <v>0</v>
      </c>
      <c r="HY19" t="e">
        <f>AND('Application, video'!A128,"AAAAAH8L5eg=")</f>
        <v>#VALUE!</v>
      </c>
      <c r="HZ19">
        <f>IF('Application, video'!129:129,"AAAAAH8L5ek=",0)</f>
        <v>0</v>
      </c>
      <c r="IA19" t="e">
        <f>AND('Application, video'!A129,"AAAAAH8L5eo=")</f>
        <v>#VALUE!</v>
      </c>
      <c r="IB19">
        <f>IF('Application, video'!130:130,"AAAAAH8L5es=",0)</f>
        <v>0</v>
      </c>
      <c r="IC19" t="e">
        <f>AND('Application, video'!A130,"AAAAAH8L5ew=")</f>
        <v>#VALUE!</v>
      </c>
      <c r="ID19">
        <f>IF('Application, video'!131:131,"AAAAAH8L5e0=",0)</f>
        <v>0</v>
      </c>
      <c r="IE19" t="e">
        <f>AND('Application, video'!A131,"AAAAAH8L5e4=")</f>
        <v>#VALUE!</v>
      </c>
      <c r="IF19">
        <f>IF('Application, video'!132:132,"AAAAAH8L5e8=",0)</f>
        <v>0</v>
      </c>
      <c r="IG19" t="e">
        <f>AND('Application, video'!A132,"AAAAAH8L5fA=")</f>
        <v>#VALUE!</v>
      </c>
      <c r="IH19">
        <f>IF('Application, video'!133:133,"AAAAAH8L5fE=",0)</f>
        <v>0</v>
      </c>
      <c r="II19" t="e">
        <f>AND('Application, video'!A133,"AAAAAH8L5fI=")</f>
        <v>#VALUE!</v>
      </c>
      <c r="IJ19">
        <f>IF('Application, video'!134:134,"AAAAAH8L5fM=",0)</f>
        <v>0</v>
      </c>
      <c r="IK19" t="e">
        <f>AND('Application, video'!A134,"AAAAAH8L5fQ=")</f>
        <v>#VALUE!</v>
      </c>
      <c r="IL19" t="e">
        <f>IF('Application, video'!A:A,"AAAAAH8L5fU=",0)</f>
        <v>#VALUE!</v>
      </c>
      <c r="IM19">
        <f>IF('Application, video'!B:B,"AAAAAH8L5fY=",0)</f>
        <v>0</v>
      </c>
      <c r="IN19" t="e">
        <f>IF('Application, video'!C:C,"AAAAAH8L5fc=",0)</f>
        <v>#VALUE!</v>
      </c>
      <c r="IO19">
        <f>IF('Application, video'!D:D,"AAAAAH8L5fg=",0)</f>
        <v>0</v>
      </c>
      <c r="IP19">
        <f>IF('Application, video'!E:E,"AAAAAH8L5fk=",0)</f>
        <v>0</v>
      </c>
      <c r="IQ19">
        <f>IF('Application, video'!F:F,"AAAAAH8L5fo=",0)</f>
        <v>0</v>
      </c>
      <c r="IR19" t="e">
        <f>IF('Application, video'!G:G,"AAAAAH8L5fs=",0)</f>
        <v>#VALUE!</v>
      </c>
      <c r="IS19">
        <f>IF('Application, video'!H:H,"AAAAAH8L5fw=",0)</f>
        <v>0</v>
      </c>
      <c r="IT19" t="e">
        <f>IF('Application, video'!I:I,"AAAAAH8L5f0=",0)</f>
        <v>#VALUE!</v>
      </c>
      <c r="IU19">
        <f>IF('Application, video'!J:J,"AAAAAH8L5f4=",0)</f>
        <v>0</v>
      </c>
      <c r="IV19">
        <f>IF('Application, video'!K:K,"AAAAAH8L5f8=",0)</f>
        <v>0</v>
      </c>
    </row>
    <row r="20" spans="1:256" ht="12.75">
      <c r="A20">
        <f>IF('Application, video'!L:L,"AAAAAF+d9wA=",0)</f>
        <v>0</v>
      </c>
      <c r="B20">
        <f>IF('Application, video'!M:M,"AAAAAF+d9wE=",0)</f>
        <v>0</v>
      </c>
      <c r="C20">
        <f>IF('Application, video'!N:N,"AAAAAF+d9wI=",0)</f>
        <v>0</v>
      </c>
      <c r="D20">
        <f>IF('Application, couselor &amp; other'!1:1,"AAAAAF+d9wM=",0)</f>
        <v>0</v>
      </c>
      <c r="E20" t="e">
        <f>AND('Application, couselor &amp; other'!A1,"AAAAAF+d9wQ=")</f>
        <v>#VALUE!</v>
      </c>
      <c r="F20" t="e">
        <f>AND('Application, couselor &amp; other'!B1,"AAAAAF+d9wU=")</f>
        <v>#VALUE!</v>
      </c>
      <c r="G20" t="e">
        <f>AND('Application, couselor &amp; other'!C1,"AAAAAF+d9wY=")</f>
        <v>#VALUE!</v>
      </c>
      <c r="H20" t="e">
        <f>AND('Application, couselor &amp; other'!D1,"AAAAAF+d9wc=")</f>
        <v>#VALUE!</v>
      </c>
      <c r="I20" t="e">
        <f>AND('Application, couselor &amp; other'!E1,"AAAAAF+d9wg=")</f>
        <v>#VALUE!</v>
      </c>
      <c r="J20" t="e">
        <f>AND('Application, couselor &amp; other'!F1,"AAAAAF+d9wk=")</f>
        <v>#VALUE!</v>
      </c>
      <c r="K20" t="e">
        <f>AND('Application, couselor &amp; other'!G1,"AAAAAF+d9wo=")</f>
        <v>#VALUE!</v>
      </c>
      <c r="L20" t="e">
        <f>AND('Application, couselor &amp; other'!H1,"AAAAAF+d9ws=")</f>
        <v>#VALUE!</v>
      </c>
      <c r="M20" t="e">
        <f>AND('Application, couselor &amp; other'!I1,"AAAAAF+d9ww=")</f>
        <v>#VALUE!</v>
      </c>
      <c r="N20" t="e">
        <f>AND('Application, couselor &amp; other'!J1,"AAAAAF+d9w0=")</f>
        <v>#VALUE!</v>
      </c>
      <c r="O20" t="e">
        <f>AND('Application, couselor &amp; other'!K1,"AAAAAF+d9w4=")</f>
        <v>#VALUE!</v>
      </c>
      <c r="P20" t="e">
        <f>AND('Application, couselor &amp; other'!L1,"AAAAAF+d9w8=")</f>
        <v>#VALUE!</v>
      </c>
      <c r="Q20" t="e">
        <f>AND('Application, couselor &amp; other'!M1,"AAAAAF+d9xA=")</f>
        <v>#VALUE!</v>
      </c>
      <c r="R20" t="e">
        <f>AND('Application, couselor &amp; other'!N1,"AAAAAF+d9xE=")</f>
        <v>#VALUE!</v>
      </c>
      <c r="S20">
        <f>IF('Application, couselor &amp; other'!2:2,"AAAAAF+d9xI=",0)</f>
        <v>0</v>
      </c>
      <c r="T20" t="e">
        <f>AND('Application, couselor &amp; other'!A2,"AAAAAF+d9xM=")</f>
        <v>#VALUE!</v>
      </c>
      <c r="U20" t="e">
        <f>AND('Application, couselor &amp; other'!B2,"AAAAAF+d9xQ=")</f>
        <v>#VALUE!</v>
      </c>
      <c r="V20" t="e">
        <f>AND('Application, couselor &amp; other'!C2,"AAAAAF+d9xU=")</f>
        <v>#VALUE!</v>
      </c>
      <c r="W20" t="e">
        <f>AND('Application, couselor &amp; other'!D2,"AAAAAF+d9xY=")</f>
        <v>#VALUE!</v>
      </c>
      <c r="X20" t="e">
        <f>AND('Application, couselor &amp; other'!E2,"AAAAAF+d9xc=")</f>
        <v>#VALUE!</v>
      </c>
      <c r="Y20" t="e">
        <f>AND('Application, couselor &amp; other'!F2,"AAAAAF+d9xg=")</f>
        <v>#VALUE!</v>
      </c>
      <c r="Z20" t="e">
        <f>AND('Application, couselor &amp; other'!G2,"AAAAAF+d9xk=")</f>
        <v>#VALUE!</v>
      </c>
      <c r="AA20" t="e">
        <f>AND('Application, couselor &amp; other'!H2,"AAAAAF+d9xo=")</f>
        <v>#VALUE!</v>
      </c>
      <c r="AB20" t="e">
        <f>AND('Application, couselor &amp; other'!I2,"AAAAAF+d9xs=")</f>
        <v>#VALUE!</v>
      </c>
      <c r="AC20" t="e">
        <f>AND('Application, couselor &amp; other'!J2,"AAAAAF+d9xw=")</f>
        <v>#VALUE!</v>
      </c>
      <c r="AD20" t="e">
        <f>AND('Application, couselor &amp; other'!K2,"AAAAAF+d9x0=")</f>
        <v>#VALUE!</v>
      </c>
      <c r="AE20" t="e">
        <f>AND('Application, couselor &amp; other'!L2,"AAAAAF+d9x4=")</f>
        <v>#VALUE!</v>
      </c>
      <c r="AF20" t="e">
        <f>AND('Application, couselor &amp; other'!M2,"AAAAAF+d9x8=")</f>
        <v>#VALUE!</v>
      </c>
      <c r="AG20" t="e">
        <f>AND('Application, couselor &amp; other'!N2,"AAAAAF+d9yA=")</f>
        <v>#VALUE!</v>
      </c>
      <c r="AH20">
        <f>IF('Application, couselor &amp; other'!3:3,"AAAAAF+d9yE=",0)</f>
        <v>0</v>
      </c>
      <c r="AI20" t="e">
        <f>AND('Application, couselor &amp; other'!A3,"AAAAAF+d9yI=")</f>
        <v>#VALUE!</v>
      </c>
      <c r="AJ20" t="e">
        <f>AND('Application, couselor &amp; other'!B3,"AAAAAF+d9yM=")</f>
        <v>#VALUE!</v>
      </c>
      <c r="AK20" t="e">
        <f>AND('Application, couselor &amp; other'!C3,"AAAAAF+d9yQ=")</f>
        <v>#VALUE!</v>
      </c>
      <c r="AL20" t="e">
        <f>AND('Application, couselor &amp; other'!D3,"AAAAAF+d9yU=")</f>
        <v>#VALUE!</v>
      </c>
      <c r="AM20" t="e">
        <f>AND('Application, couselor &amp; other'!E3,"AAAAAF+d9yY=")</f>
        <v>#VALUE!</v>
      </c>
      <c r="AN20" t="e">
        <f>AND('Application, couselor &amp; other'!F3,"AAAAAF+d9yc=")</f>
        <v>#VALUE!</v>
      </c>
      <c r="AO20" t="e">
        <f>AND('Application, couselor &amp; other'!G3,"AAAAAF+d9yg=")</f>
        <v>#VALUE!</v>
      </c>
      <c r="AP20" t="e">
        <f>AND('Application, couselor &amp; other'!H3,"AAAAAF+d9yk=")</f>
        <v>#VALUE!</v>
      </c>
      <c r="AQ20" t="e">
        <f>AND('Application, couselor &amp; other'!I3,"AAAAAF+d9yo=")</f>
        <v>#VALUE!</v>
      </c>
      <c r="AR20" t="e">
        <f>AND('Application, couselor &amp; other'!J3,"AAAAAF+d9ys=")</f>
        <v>#VALUE!</v>
      </c>
      <c r="AS20" t="e">
        <f>AND('Application, couselor &amp; other'!K3,"AAAAAF+d9yw=")</f>
        <v>#VALUE!</v>
      </c>
      <c r="AT20" t="e">
        <f>AND('Application, couselor &amp; other'!L3,"AAAAAF+d9y0=")</f>
        <v>#VALUE!</v>
      </c>
      <c r="AU20" t="e">
        <f>AND('Application, couselor &amp; other'!M3,"AAAAAF+d9y4=")</f>
        <v>#VALUE!</v>
      </c>
      <c r="AV20" t="e">
        <f>AND('Application, couselor &amp; other'!N3,"AAAAAF+d9y8=")</f>
        <v>#VALUE!</v>
      </c>
      <c r="AW20">
        <f>IF('Application, couselor &amp; other'!4:4,"AAAAAF+d9zA=",0)</f>
        <v>0</v>
      </c>
      <c r="AX20" t="e">
        <f>AND('Application, couselor &amp; other'!A4,"AAAAAF+d9zE=")</f>
        <v>#VALUE!</v>
      </c>
      <c r="AY20" t="e">
        <f>AND('Application, couselor &amp; other'!B4,"AAAAAF+d9zI=")</f>
        <v>#VALUE!</v>
      </c>
      <c r="AZ20" t="e">
        <f>AND('Application, couselor &amp; other'!C4,"AAAAAF+d9zM=")</f>
        <v>#VALUE!</v>
      </c>
      <c r="BA20" t="e">
        <f>AND('Application, couselor &amp; other'!D4,"AAAAAF+d9zQ=")</f>
        <v>#VALUE!</v>
      </c>
      <c r="BB20" t="e">
        <f>AND('Application, couselor &amp; other'!E4,"AAAAAF+d9zU=")</f>
        <v>#VALUE!</v>
      </c>
      <c r="BC20" t="e">
        <f>AND('Application, couselor &amp; other'!F4,"AAAAAF+d9zY=")</f>
        <v>#VALUE!</v>
      </c>
      <c r="BD20" t="e">
        <f>AND('Application, couselor &amp; other'!G4,"AAAAAF+d9zc=")</f>
        <v>#VALUE!</v>
      </c>
      <c r="BE20" t="e">
        <f>AND('Application, couselor &amp; other'!H4,"AAAAAF+d9zg=")</f>
        <v>#VALUE!</v>
      </c>
      <c r="BF20" t="e">
        <f>AND('Application, couselor &amp; other'!I4,"AAAAAF+d9zk=")</f>
        <v>#VALUE!</v>
      </c>
      <c r="BG20" t="e">
        <f>AND('Application, couselor &amp; other'!J4,"AAAAAF+d9zo=")</f>
        <v>#VALUE!</v>
      </c>
      <c r="BH20" t="e">
        <f>AND('Application, couselor &amp; other'!K4,"AAAAAF+d9zs=")</f>
        <v>#VALUE!</v>
      </c>
      <c r="BI20" t="e">
        <f>AND('Application, couselor &amp; other'!L4,"AAAAAF+d9zw=")</f>
        <v>#VALUE!</v>
      </c>
      <c r="BJ20" t="e">
        <f>AND('Application, couselor &amp; other'!M4,"AAAAAF+d9z0=")</f>
        <v>#VALUE!</v>
      </c>
      <c r="BK20" t="e">
        <f>AND('Application, couselor &amp; other'!N4,"AAAAAF+d9z4=")</f>
        <v>#VALUE!</v>
      </c>
      <c r="BL20">
        <f>IF('Application, couselor &amp; other'!5:5,"AAAAAF+d9z8=",0)</f>
        <v>0</v>
      </c>
      <c r="BM20" t="e">
        <f>AND('Application, couselor &amp; other'!A5,"AAAAAF+d90A=")</f>
        <v>#VALUE!</v>
      </c>
      <c r="BN20" t="e">
        <f>AND('Application, couselor &amp; other'!B5,"AAAAAF+d90E=")</f>
        <v>#VALUE!</v>
      </c>
      <c r="BO20" t="e">
        <f>AND('Application, couselor &amp; other'!C5,"AAAAAF+d90I=")</f>
        <v>#VALUE!</v>
      </c>
      <c r="BP20" t="e">
        <f>AND('Application, couselor &amp; other'!D5,"AAAAAF+d90M=")</f>
        <v>#VALUE!</v>
      </c>
      <c r="BQ20" t="e">
        <f>AND('Application, couselor &amp; other'!E5,"AAAAAF+d90Q=")</f>
        <v>#VALUE!</v>
      </c>
      <c r="BR20" t="e">
        <f>AND('Application, couselor &amp; other'!F5,"AAAAAF+d90U=")</f>
        <v>#VALUE!</v>
      </c>
      <c r="BS20" t="e">
        <f>AND('Application, couselor &amp; other'!G5,"AAAAAF+d90Y=")</f>
        <v>#VALUE!</v>
      </c>
      <c r="BT20" t="e">
        <f>AND('Application, couselor &amp; other'!H5,"AAAAAF+d90c=")</f>
        <v>#VALUE!</v>
      </c>
      <c r="BU20" t="e">
        <f>AND('Application, couselor &amp; other'!I5,"AAAAAF+d90g=")</f>
        <v>#VALUE!</v>
      </c>
      <c r="BV20" t="e">
        <f>AND('Application, couselor &amp; other'!J5,"AAAAAF+d90k=")</f>
        <v>#VALUE!</v>
      </c>
      <c r="BW20" t="e">
        <f>AND('Application, couselor &amp; other'!K5,"AAAAAF+d90o=")</f>
        <v>#VALUE!</v>
      </c>
      <c r="BX20" t="e">
        <f>AND('Application, couselor &amp; other'!L5,"AAAAAF+d90s=")</f>
        <v>#VALUE!</v>
      </c>
      <c r="BY20" t="e">
        <f>AND('Application, couselor &amp; other'!M5,"AAAAAF+d90w=")</f>
        <v>#VALUE!</v>
      </c>
      <c r="BZ20" t="e">
        <f>AND('Application, couselor &amp; other'!N5,"AAAAAF+d900=")</f>
        <v>#VALUE!</v>
      </c>
      <c r="CA20">
        <f>IF('Application, couselor &amp; other'!6:6,"AAAAAF+d904=",0)</f>
        <v>0</v>
      </c>
      <c r="CB20" t="e">
        <f>AND('Application, couselor &amp; other'!A6,"AAAAAF+d908=")</f>
        <v>#VALUE!</v>
      </c>
      <c r="CC20" t="e">
        <f>AND('Application, couselor &amp; other'!B6,"AAAAAF+d91A=")</f>
        <v>#VALUE!</v>
      </c>
      <c r="CD20" t="e">
        <f>AND('Application, couselor &amp; other'!C6,"AAAAAF+d91E=")</f>
        <v>#VALUE!</v>
      </c>
      <c r="CE20" t="e">
        <f>AND('Application, couselor &amp; other'!D6,"AAAAAF+d91I=")</f>
        <v>#VALUE!</v>
      </c>
      <c r="CF20" t="e">
        <f>AND('Application, couselor &amp; other'!E6,"AAAAAF+d91M=")</f>
        <v>#VALUE!</v>
      </c>
      <c r="CG20" t="e">
        <f>AND('Application, couselor &amp; other'!F6,"AAAAAF+d91Q=")</f>
        <v>#VALUE!</v>
      </c>
      <c r="CH20" t="e">
        <f>AND('Application, couselor &amp; other'!G6,"AAAAAF+d91U=")</f>
        <v>#VALUE!</v>
      </c>
      <c r="CI20" t="e">
        <f>AND('Application, couselor &amp; other'!H6,"AAAAAF+d91Y=")</f>
        <v>#VALUE!</v>
      </c>
      <c r="CJ20" t="e">
        <f>AND('Application, couselor &amp; other'!I6,"AAAAAF+d91c=")</f>
        <v>#VALUE!</v>
      </c>
      <c r="CK20" t="e">
        <f>AND('Application, couselor &amp; other'!J6,"AAAAAF+d91g=")</f>
        <v>#VALUE!</v>
      </c>
      <c r="CL20" t="e">
        <f>AND('Application, couselor &amp; other'!K6,"AAAAAF+d91k=")</f>
        <v>#VALUE!</v>
      </c>
      <c r="CM20" t="e">
        <f>AND('Application, couselor &amp; other'!L6,"AAAAAF+d91o=")</f>
        <v>#VALUE!</v>
      </c>
      <c r="CN20" t="e">
        <f>AND('Application, couselor &amp; other'!M6,"AAAAAF+d91s=")</f>
        <v>#VALUE!</v>
      </c>
      <c r="CO20" t="e">
        <f>AND('Application, couselor &amp; other'!N6,"AAAAAF+d91w=")</f>
        <v>#VALUE!</v>
      </c>
      <c r="CP20">
        <f>IF('Application, couselor &amp; other'!7:7,"AAAAAF+d910=",0)</f>
        <v>0</v>
      </c>
      <c r="CQ20" t="e">
        <f>AND('Application, couselor &amp; other'!A7,"AAAAAF+d914=")</f>
        <v>#VALUE!</v>
      </c>
      <c r="CR20" t="e">
        <f>AND('Application, couselor &amp; other'!B7,"AAAAAF+d918=")</f>
        <v>#VALUE!</v>
      </c>
      <c r="CS20" t="e">
        <f>AND('Application, couselor &amp; other'!C7,"AAAAAF+d92A=")</f>
        <v>#VALUE!</v>
      </c>
      <c r="CT20" t="e">
        <f>AND('Application, couselor &amp; other'!D7,"AAAAAF+d92E=")</f>
        <v>#VALUE!</v>
      </c>
      <c r="CU20" t="e">
        <f>AND('Application, couselor &amp; other'!E7,"AAAAAF+d92I=")</f>
        <v>#VALUE!</v>
      </c>
      <c r="CV20" t="e">
        <f>AND('Application, couselor &amp; other'!F7,"AAAAAF+d92M=")</f>
        <v>#VALUE!</v>
      </c>
      <c r="CW20" t="e">
        <f>AND('Application, couselor &amp; other'!G7,"AAAAAF+d92Q=")</f>
        <v>#VALUE!</v>
      </c>
      <c r="CX20" t="e">
        <f>AND('Application, couselor &amp; other'!H7,"AAAAAF+d92U=")</f>
        <v>#VALUE!</v>
      </c>
      <c r="CY20" t="e">
        <f>AND('Application, couselor &amp; other'!I7,"AAAAAF+d92Y=")</f>
        <v>#VALUE!</v>
      </c>
      <c r="CZ20" t="e">
        <f>AND('Application, couselor &amp; other'!J7,"AAAAAF+d92c=")</f>
        <v>#VALUE!</v>
      </c>
      <c r="DA20" t="e">
        <f>AND('Application, couselor &amp; other'!K7,"AAAAAF+d92g=")</f>
        <v>#VALUE!</v>
      </c>
      <c r="DB20" t="e">
        <f>AND('Application, couselor &amp; other'!L7,"AAAAAF+d92k=")</f>
        <v>#VALUE!</v>
      </c>
      <c r="DC20" t="e">
        <f>AND('Application, couselor &amp; other'!M7,"AAAAAF+d92o=")</f>
        <v>#VALUE!</v>
      </c>
      <c r="DD20" t="e">
        <f>AND('Application, couselor &amp; other'!N7,"AAAAAF+d92s=")</f>
        <v>#VALUE!</v>
      </c>
      <c r="DE20">
        <f>IF('Application, couselor &amp; other'!8:8,"AAAAAF+d92w=",0)</f>
        <v>0</v>
      </c>
      <c r="DF20" t="e">
        <f>AND('Application, couselor &amp; other'!A8,"AAAAAF+d920=")</f>
        <v>#VALUE!</v>
      </c>
      <c r="DG20" t="e">
        <f>AND('Application, couselor &amp; other'!B8,"AAAAAF+d924=")</f>
        <v>#VALUE!</v>
      </c>
      <c r="DH20" t="e">
        <f>AND('Application, couselor &amp; other'!C8,"AAAAAF+d928=")</f>
        <v>#VALUE!</v>
      </c>
      <c r="DI20" t="e">
        <f>AND('Application, couselor &amp; other'!D8,"AAAAAF+d93A=")</f>
        <v>#VALUE!</v>
      </c>
      <c r="DJ20" t="e">
        <f>AND('Application, couselor &amp; other'!E8,"AAAAAF+d93E=")</f>
        <v>#VALUE!</v>
      </c>
      <c r="DK20" t="e">
        <f>AND('Application, couselor &amp; other'!F8,"AAAAAF+d93I=")</f>
        <v>#VALUE!</v>
      </c>
      <c r="DL20" t="e">
        <f>AND('Application, couselor &amp; other'!G8,"AAAAAF+d93M=")</f>
        <v>#VALUE!</v>
      </c>
      <c r="DM20" t="e">
        <f>AND('Application, couselor &amp; other'!H8,"AAAAAF+d93Q=")</f>
        <v>#VALUE!</v>
      </c>
      <c r="DN20" t="e">
        <f>AND('Application, couselor &amp; other'!I8,"AAAAAF+d93U=")</f>
        <v>#VALUE!</v>
      </c>
      <c r="DO20" t="e">
        <f>AND('Application, couselor &amp; other'!J8,"AAAAAF+d93Y=")</f>
        <v>#VALUE!</v>
      </c>
      <c r="DP20" t="e">
        <f>AND('Application, couselor &amp; other'!K8,"AAAAAF+d93c=")</f>
        <v>#VALUE!</v>
      </c>
      <c r="DQ20" t="e">
        <f>AND('Application, couselor &amp; other'!L8,"AAAAAF+d93g=")</f>
        <v>#VALUE!</v>
      </c>
      <c r="DR20" t="e">
        <f>AND('Application, couselor &amp; other'!M8,"AAAAAF+d93k=")</f>
        <v>#VALUE!</v>
      </c>
      <c r="DS20" t="e">
        <f>AND('Application, couselor &amp; other'!N8,"AAAAAF+d93o=")</f>
        <v>#VALUE!</v>
      </c>
      <c r="DT20">
        <f>IF('Application, couselor &amp; other'!9:9,"AAAAAF+d93s=",0)</f>
        <v>0</v>
      </c>
      <c r="DU20" t="e">
        <f>AND('Application, couselor &amp; other'!A9,"AAAAAF+d93w=")</f>
        <v>#VALUE!</v>
      </c>
      <c r="DV20" t="e">
        <f>AND('Application, couselor &amp; other'!B9,"AAAAAF+d930=")</f>
        <v>#VALUE!</v>
      </c>
      <c r="DW20" t="e">
        <f>AND('Application, couselor &amp; other'!C9,"AAAAAF+d934=")</f>
        <v>#VALUE!</v>
      </c>
      <c r="DX20" t="e">
        <f>AND('Application, couselor &amp; other'!D9,"AAAAAF+d938=")</f>
        <v>#VALUE!</v>
      </c>
      <c r="DY20" t="e">
        <f>AND('Application, couselor &amp; other'!E9,"AAAAAF+d94A=")</f>
        <v>#VALUE!</v>
      </c>
      <c r="DZ20" t="e">
        <f>AND('Application, couselor &amp; other'!F9,"AAAAAF+d94E=")</f>
        <v>#VALUE!</v>
      </c>
      <c r="EA20" t="e">
        <f>AND('Application, couselor &amp; other'!G9,"AAAAAF+d94I=")</f>
        <v>#VALUE!</v>
      </c>
      <c r="EB20" t="e">
        <f>AND('Application, couselor &amp; other'!H9,"AAAAAF+d94M=")</f>
        <v>#VALUE!</v>
      </c>
      <c r="EC20" t="e">
        <f>AND('Application, couselor &amp; other'!I9,"AAAAAF+d94Q=")</f>
        <v>#VALUE!</v>
      </c>
      <c r="ED20" t="e">
        <f>AND('Application, couselor &amp; other'!J9,"AAAAAF+d94U=")</f>
        <v>#VALUE!</v>
      </c>
      <c r="EE20" t="e">
        <f>AND('Application, couselor &amp; other'!K9,"AAAAAF+d94Y=")</f>
        <v>#VALUE!</v>
      </c>
      <c r="EF20" t="e">
        <f>AND('Application, couselor &amp; other'!L9,"AAAAAF+d94c=")</f>
        <v>#VALUE!</v>
      </c>
      <c r="EG20" t="e">
        <f>AND('Application, couselor &amp; other'!M9,"AAAAAF+d94g=")</f>
        <v>#VALUE!</v>
      </c>
      <c r="EH20" t="e">
        <f>AND('Application, couselor &amp; other'!N9,"AAAAAF+d94k=")</f>
        <v>#VALUE!</v>
      </c>
      <c r="EI20">
        <f>IF('Application, couselor &amp; other'!10:10,"AAAAAF+d94o=",0)</f>
        <v>0</v>
      </c>
      <c r="EJ20" t="e">
        <f>AND('Application, couselor &amp; other'!A10,"AAAAAF+d94s=")</f>
        <v>#VALUE!</v>
      </c>
      <c r="EK20" t="e">
        <f>AND('Application, couselor &amp; other'!B10,"AAAAAF+d94w=")</f>
        <v>#VALUE!</v>
      </c>
      <c r="EL20" t="e">
        <f>AND('Application, couselor &amp; other'!C10,"AAAAAF+d940=")</f>
        <v>#VALUE!</v>
      </c>
      <c r="EM20" t="e">
        <f>AND('Application, couselor &amp; other'!D10,"AAAAAF+d944=")</f>
        <v>#VALUE!</v>
      </c>
      <c r="EN20" t="e">
        <f>AND('Application, couselor &amp; other'!E10,"AAAAAF+d948=")</f>
        <v>#VALUE!</v>
      </c>
      <c r="EO20" t="e">
        <f>AND('Application, couselor &amp; other'!F10,"AAAAAF+d95A=")</f>
        <v>#VALUE!</v>
      </c>
      <c r="EP20" t="e">
        <f>AND('Application, couselor &amp; other'!G10,"AAAAAF+d95E=")</f>
        <v>#VALUE!</v>
      </c>
      <c r="EQ20" t="e">
        <f>AND('Application, couselor &amp; other'!H10,"AAAAAF+d95I=")</f>
        <v>#VALUE!</v>
      </c>
      <c r="ER20" t="e">
        <f>AND('Application, couselor &amp; other'!I10,"AAAAAF+d95M=")</f>
        <v>#VALUE!</v>
      </c>
      <c r="ES20" t="e">
        <f>AND('Application, couselor &amp; other'!J10,"AAAAAF+d95Q=")</f>
        <v>#VALUE!</v>
      </c>
      <c r="ET20" t="e">
        <f>AND('Application, couselor &amp; other'!K10,"AAAAAF+d95U=")</f>
        <v>#VALUE!</v>
      </c>
      <c r="EU20" t="e">
        <f>AND('Application, couselor &amp; other'!L10,"AAAAAF+d95Y=")</f>
        <v>#VALUE!</v>
      </c>
      <c r="EV20" t="e">
        <f>AND('Application, couselor &amp; other'!M10,"AAAAAF+d95c=")</f>
        <v>#VALUE!</v>
      </c>
      <c r="EW20" t="e">
        <f>AND('Application, couselor &amp; other'!N10,"AAAAAF+d95g=")</f>
        <v>#VALUE!</v>
      </c>
      <c r="EX20">
        <f>IF('Application, couselor &amp; other'!11:11,"AAAAAF+d95k=",0)</f>
        <v>0</v>
      </c>
      <c r="EY20" t="e">
        <f>AND('Application, couselor &amp; other'!A11,"AAAAAF+d95o=")</f>
        <v>#VALUE!</v>
      </c>
      <c r="EZ20" t="e">
        <f>AND('Application, couselor &amp; other'!B11,"AAAAAF+d95s=")</f>
        <v>#VALUE!</v>
      </c>
      <c r="FA20" t="e">
        <f>AND('Application, couselor &amp; other'!C11,"AAAAAF+d95w=")</f>
        <v>#VALUE!</v>
      </c>
      <c r="FB20" t="e">
        <f>AND('Application, couselor &amp; other'!D11,"AAAAAF+d950=")</f>
        <v>#VALUE!</v>
      </c>
      <c r="FC20" t="e">
        <f>AND('Application, couselor &amp; other'!E11,"AAAAAF+d954=")</f>
        <v>#VALUE!</v>
      </c>
      <c r="FD20" t="e">
        <f>AND('Application, couselor &amp; other'!F11,"AAAAAF+d958=")</f>
        <v>#VALUE!</v>
      </c>
      <c r="FE20" t="e">
        <f>AND('Application, couselor &amp; other'!G11,"AAAAAF+d96A=")</f>
        <v>#VALUE!</v>
      </c>
      <c r="FF20" t="e">
        <f>AND('Application, couselor &amp; other'!H11,"AAAAAF+d96E=")</f>
        <v>#VALUE!</v>
      </c>
      <c r="FG20" t="e">
        <f>AND('Application, couselor &amp; other'!I11,"AAAAAF+d96I=")</f>
        <v>#VALUE!</v>
      </c>
      <c r="FH20" t="e">
        <f>AND('Application, couselor &amp; other'!J11,"AAAAAF+d96M=")</f>
        <v>#VALUE!</v>
      </c>
      <c r="FI20" t="e">
        <f>AND('Application, couselor &amp; other'!K11,"AAAAAF+d96Q=")</f>
        <v>#VALUE!</v>
      </c>
      <c r="FJ20" t="e">
        <f>AND('Application, couselor &amp; other'!L11,"AAAAAF+d96U=")</f>
        <v>#VALUE!</v>
      </c>
      <c r="FK20" t="e">
        <f>AND('Application, couselor &amp; other'!M11,"AAAAAF+d96Y=")</f>
        <v>#VALUE!</v>
      </c>
      <c r="FL20" t="e">
        <f>AND('Application, couselor &amp; other'!N11,"AAAAAF+d96c=")</f>
        <v>#VALUE!</v>
      </c>
      <c r="FM20">
        <f>IF('Application, couselor &amp; other'!12:12,"AAAAAF+d96g=",0)</f>
        <v>0</v>
      </c>
      <c r="FN20" t="e">
        <f>AND('Application, couselor &amp; other'!A12,"AAAAAF+d96k=")</f>
        <v>#VALUE!</v>
      </c>
      <c r="FO20" t="e">
        <f>AND('Application, couselor &amp; other'!B12,"AAAAAF+d96o=")</f>
        <v>#VALUE!</v>
      </c>
      <c r="FP20" t="e">
        <f>AND('Application, couselor &amp; other'!C12,"AAAAAF+d96s=")</f>
        <v>#VALUE!</v>
      </c>
      <c r="FQ20" t="e">
        <f>AND('Application, couselor &amp; other'!D12,"AAAAAF+d96w=")</f>
        <v>#VALUE!</v>
      </c>
      <c r="FR20" t="e">
        <f>AND('Application, couselor &amp; other'!E12,"AAAAAF+d960=")</f>
        <v>#VALUE!</v>
      </c>
      <c r="FS20" t="e">
        <f>AND('Application, couselor &amp; other'!F12,"AAAAAF+d964=")</f>
        <v>#VALUE!</v>
      </c>
      <c r="FT20" t="e">
        <f>AND('Application, couselor &amp; other'!G12,"AAAAAF+d968=")</f>
        <v>#VALUE!</v>
      </c>
      <c r="FU20" t="e">
        <f>AND('Application, couselor &amp; other'!H12,"AAAAAF+d97A=")</f>
        <v>#VALUE!</v>
      </c>
      <c r="FV20" t="e">
        <f>AND('Application, couselor &amp; other'!I12,"AAAAAF+d97E=")</f>
        <v>#VALUE!</v>
      </c>
      <c r="FW20" t="e">
        <f>AND('Application, couselor &amp; other'!J12,"AAAAAF+d97I=")</f>
        <v>#VALUE!</v>
      </c>
      <c r="FX20" t="e">
        <f>AND('Application, couselor &amp; other'!K12,"AAAAAF+d97M=")</f>
        <v>#VALUE!</v>
      </c>
      <c r="FY20" t="e">
        <f>AND('Application, couselor &amp; other'!L12,"AAAAAF+d97Q=")</f>
        <v>#VALUE!</v>
      </c>
      <c r="FZ20" t="e">
        <f>AND('Application, couselor &amp; other'!M12,"AAAAAF+d97U=")</f>
        <v>#VALUE!</v>
      </c>
      <c r="GA20" t="e">
        <f>AND('Application, couselor &amp; other'!N12,"AAAAAF+d97Y=")</f>
        <v>#VALUE!</v>
      </c>
      <c r="GB20">
        <f>IF('Application, couselor &amp; other'!13:13,"AAAAAF+d97c=",0)</f>
        <v>0</v>
      </c>
      <c r="GC20" t="e">
        <f>AND('Application, couselor &amp; other'!A13,"AAAAAF+d97g=")</f>
        <v>#VALUE!</v>
      </c>
      <c r="GD20" t="e">
        <f>AND('Application, couselor &amp; other'!B13,"AAAAAF+d97k=")</f>
        <v>#VALUE!</v>
      </c>
      <c r="GE20" t="e">
        <f>AND('Application, couselor &amp; other'!C13,"AAAAAF+d97o=")</f>
        <v>#VALUE!</v>
      </c>
      <c r="GF20" t="e">
        <f>AND('Application, couselor &amp; other'!D13,"AAAAAF+d97s=")</f>
        <v>#VALUE!</v>
      </c>
      <c r="GG20" t="e">
        <f>AND('Application, couselor &amp; other'!E13,"AAAAAF+d97w=")</f>
        <v>#VALUE!</v>
      </c>
      <c r="GH20" t="e">
        <f>AND('Application, couselor &amp; other'!F13,"AAAAAF+d970=")</f>
        <v>#VALUE!</v>
      </c>
      <c r="GI20" t="e">
        <f>AND('Application, couselor &amp; other'!G13,"AAAAAF+d974=")</f>
        <v>#VALUE!</v>
      </c>
      <c r="GJ20" t="e">
        <f>AND('Application, couselor &amp; other'!H13,"AAAAAF+d978=")</f>
        <v>#VALUE!</v>
      </c>
      <c r="GK20" t="e">
        <f>AND('Application, couselor &amp; other'!I13,"AAAAAF+d98A=")</f>
        <v>#VALUE!</v>
      </c>
      <c r="GL20" t="e">
        <f>AND('Application, couselor &amp; other'!J13,"AAAAAF+d98E=")</f>
        <v>#VALUE!</v>
      </c>
      <c r="GM20" t="e">
        <f>AND('Application, couselor &amp; other'!K13,"AAAAAF+d98I=")</f>
        <v>#VALUE!</v>
      </c>
      <c r="GN20" t="e">
        <f>AND('Application, couselor &amp; other'!L13,"AAAAAF+d98M=")</f>
        <v>#VALUE!</v>
      </c>
      <c r="GO20" t="e">
        <f>AND('Application, couselor &amp; other'!M13,"AAAAAF+d98Q=")</f>
        <v>#VALUE!</v>
      </c>
      <c r="GP20" t="e">
        <f>AND('Application, couselor &amp; other'!N13,"AAAAAF+d98U=")</f>
        <v>#VALUE!</v>
      </c>
      <c r="GQ20">
        <f>IF('Application, couselor &amp; other'!14:14,"AAAAAF+d98Y=",0)</f>
        <v>0</v>
      </c>
      <c r="GR20" t="e">
        <f>AND('Application, couselor &amp; other'!A14,"AAAAAF+d98c=")</f>
        <v>#VALUE!</v>
      </c>
      <c r="GS20" t="e">
        <f>AND('Application, couselor &amp; other'!B14,"AAAAAF+d98g=")</f>
        <v>#VALUE!</v>
      </c>
      <c r="GT20" t="e">
        <f>AND('Application, couselor &amp; other'!C14,"AAAAAF+d98k=")</f>
        <v>#VALUE!</v>
      </c>
      <c r="GU20" t="e">
        <f>AND('Application, couselor &amp; other'!D14,"AAAAAF+d98o=")</f>
        <v>#VALUE!</v>
      </c>
      <c r="GV20" t="e">
        <f>AND('Application, couselor &amp; other'!E14,"AAAAAF+d98s=")</f>
        <v>#VALUE!</v>
      </c>
      <c r="GW20" t="e">
        <f>AND('Application, couselor &amp; other'!F14,"AAAAAF+d98w=")</f>
        <v>#VALUE!</v>
      </c>
      <c r="GX20" t="e">
        <f>AND('Application, couselor &amp; other'!G14,"AAAAAF+d980=")</f>
        <v>#VALUE!</v>
      </c>
      <c r="GY20" t="e">
        <f>AND('Application, couselor &amp; other'!H14,"AAAAAF+d984=")</f>
        <v>#VALUE!</v>
      </c>
      <c r="GZ20" t="e">
        <f>AND('Application, couselor &amp; other'!I14,"AAAAAF+d988=")</f>
        <v>#VALUE!</v>
      </c>
      <c r="HA20" t="e">
        <f>AND('Application, couselor &amp; other'!J14,"AAAAAF+d99A=")</f>
        <v>#VALUE!</v>
      </c>
      <c r="HB20" t="e">
        <f>AND('Application, couselor &amp; other'!K14,"AAAAAF+d99E=")</f>
        <v>#VALUE!</v>
      </c>
      <c r="HC20" t="e">
        <f>AND('Application, couselor &amp; other'!L14,"AAAAAF+d99I=")</f>
        <v>#VALUE!</v>
      </c>
      <c r="HD20" t="e">
        <f>AND('Application, couselor &amp; other'!M14,"AAAAAF+d99M=")</f>
        <v>#VALUE!</v>
      </c>
      <c r="HE20" t="e">
        <f>AND('Application, couselor &amp; other'!N14,"AAAAAF+d99Q=")</f>
        <v>#VALUE!</v>
      </c>
      <c r="HF20">
        <f>IF('Application, couselor &amp; other'!15:15,"AAAAAF+d99U=",0)</f>
        <v>0</v>
      </c>
      <c r="HG20" t="e">
        <f>AND('Application, couselor &amp; other'!A15,"AAAAAF+d99Y=")</f>
        <v>#VALUE!</v>
      </c>
      <c r="HH20" t="e">
        <f>AND('Application, couselor &amp; other'!B15,"AAAAAF+d99c=")</f>
        <v>#VALUE!</v>
      </c>
      <c r="HI20" t="e">
        <f>AND('Application, couselor &amp; other'!C15,"AAAAAF+d99g=")</f>
        <v>#VALUE!</v>
      </c>
      <c r="HJ20" t="e">
        <f>AND('Application, couselor &amp; other'!D15,"AAAAAF+d99k=")</f>
        <v>#VALUE!</v>
      </c>
      <c r="HK20" t="e">
        <f>AND('Application, couselor &amp; other'!E15,"AAAAAF+d99o=")</f>
        <v>#VALUE!</v>
      </c>
      <c r="HL20" t="e">
        <f>AND('Application, couselor &amp; other'!F15,"AAAAAF+d99s=")</f>
        <v>#VALUE!</v>
      </c>
      <c r="HM20" t="e">
        <f>AND('Application, couselor &amp; other'!G15,"AAAAAF+d99w=")</f>
        <v>#VALUE!</v>
      </c>
      <c r="HN20" t="e">
        <f>AND('Application, couselor &amp; other'!H15,"AAAAAF+d990=")</f>
        <v>#VALUE!</v>
      </c>
      <c r="HO20" t="e">
        <f>AND('Application, couselor &amp; other'!I15,"AAAAAF+d994=")</f>
        <v>#VALUE!</v>
      </c>
      <c r="HP20" t="e">
        <f>AND('Application, couselor &amp; other'!J15,"AAAAAF+d998=")</f>
        <v>#VALUE!</v>
      </c>
      <c r="HQ20" t="e">
        <f>AND('Application, couselor &amp; other'!K15,"AAAAAF+d9+A=")</f>
        <v>#VALUE!</v>
      </c>
      <c r="HR20" t="e">
        <f>AND('Application, couselor &amp; other'!L15,"AAAAAF+d9+E=")</f>
        <v>#VALUE!</v>
      </c>
      <c r="HS20" t="e">
        <f>AND('Application, couselor &amp; other'!M15,"AAAAAF+d9+I=")</f>
        <v>#VALUE!</v>
      </c>
      <c r="HT20" t="e">
        <f>AND('Application, couselor &amp; other'!N15,"AAAAAF+d9+M=")</f>
        <v>#VALUE!</v>
      </c>
      <c r="HU20">
        <f>IF('Application, couselor &amp; other'!16:16,"AAAAAF+d9+Q=",0)</f>
        <v>0</v>
      </c>
      <c r="HV20" t="e">
        <f>AND('Application, couselor &amp; other'!A16,"AAAAAF+d9+U=")</f>
        <v>#VALUE!</v>
      </c>
      <c r="HW20" t="e">
        <f>AND('Application, couselor &amp; other'!B16,"AAAAAF+d9+Y=")</f>
        <v>#VALUE!</v>
      </c>
      <c r="HX20" t="e">
        <f>AND('Application, couselor &amp; other'!C16,"AAAAAF+d9+c=")</f>
        <v>#VALUE!</v>
      </c>
      <c r="HY20" t="e">
        <f>AND('Application, couselor &amp; other'!D16,"AAAAAF+d9+g=")</f>
        <v>#VALUE!</v>
      </c>
      <c r="HZ20" t="e">
        <f>AND('Application, couselor &amp; other'!E16,"AAAAAF+d9+k=")</f>
        <v>#VALUE!</v>
      </c>
      <c r="IA20" t="e">
        <f>AND('Application, couselor &amp; other'!F16,"AAAAAF+d9+o=")</f>
        <v>#VALUE!</v>
      </c>
      <c r="IB20" t="e">
        <f>AND('Application, couselor &amp; other'!G16,"AAAAAF+d9+s=")</f>
        <v>#VALUE!</v>
      </c>
      <c r="IC20" t="e">
        <f>AND('Application, couselor &amp; other'!H16,"AAAAAF+d9+w=")</f>
        <v>#VALUE!</v>
      </c>
      <c r="ID20" t="e">
        <f>AND('Application, couselor &amp; other'!I16,"AAAAAF+d9+0=")</f>
        <v>#VALUE!</v>
      </c>
      <c r="IE20" t="e">
        <f>AND('Application, couselor &amp; other'!J16,"AAAAAF+d9+4=")</f>
        <v>#VALUE!</v>
      </c>
      <c r="IF20" t="e">
        <f>AND('Application, couselor &amp; other'!K16,"AAAAAF+d9+8=")</f>
        <v>#VALUE!</v>
      </c>
      <c r="IG20" t="e">
        <f>AND('Application, couselor &amp; other'!L16,"AAAAAF+d9/A=")</f>
        <v>#VALUE!</v>
      </c>
      <c r="IH20" t="e">
        <f>AND('Application, couselor &amp; other'!M16,"AAAAAF+d9/E=")</f>
        <v>#VALUE!</v>
      </c>
      <c r="II20" t="e">
        <f>AND('Application, couselor &amp; other'!N16,"AAAAAF+d9/I=")</f>
        <v>#VALUE!</v>
      </c>
      <c r="IJ20">
        <f>IF('Application, couselor &amp; other'!17:17,"AAAAAF+d9/M=",0)</f>
        <v>0</v>
      </c>
      <c r="IK20" t="e">
        <f>AND('Application, couselor &amp; other'!A17,"AAAAAF+d9/Q=")</f>
        <v>#VALUE!</v>
      </c>
      <c r="IL20" t="e">
        <f>AND('Application, couselor &amp; other'!B17,"AAAAAF+d9/U=")</f>
        <v>#VALUE!</v>
      </c>
      <c r="IM20" t="e">
        <f>AND('Application, couselor &amp; other'!C17,"AAAAAF+d9/Y=")</f>
        <v>#VALUE!</v>
      </c>
      <c r="IN20" t="e">
        <f>AND('Application, couselor &amp; other'!D17,"AAAAAF+d9/c=")</f>
        <v>#VALUE!</v>
      </c>
      <c r="IO20" t="e">
        <f>AND('Application, couselor &amp; other'!E17,"AAAAAF+d9/g=")</f>
        <v>#VALUE!</v>
      </c>
      <c r="IP20" t="e">
        <f>AND('Application, couselor &amp; other'!F17,"AAAAAF+d9/k=")</f>
        <v>#VALUE!</v>
      </c>
      <c r="IQ20" t="e">
        <f>AND('Application, couselor &amp; other'!G17,"AAAAAF+d9/o=")</f>
        <v>#VALUE!</v>
      </c>
      <c r="IR20" t="e">
        <f>AND('Application, couselor &amp; other'!H17,"AAAAAF+d9/s=")</f>
        <v>#VALUE!</v>
      </c>
      <c r="IS20" t="e">
        <f>AND('Application, couselor &amp; other'!I17,"AAAAAF+d9/w=")</f>
        <v>#VALUE!</v>
      </c>
      <c r="IT20" t="e">
        <f>AND('Application, couselor &amp; other'!J17,"AAAAAF+d9/0=")</f>
        <v>#VALUE!</v>
      </c>
      <c r="IU20" t="e">
        <f>AND('Application, couselor &amp; other'!K17,"AAAAAF+d9/4=")</f>
        <v>#VALUE!</v>
      </c>
      <c r="IV20" t="e">
        <f>AND('Application, couselor &amp; other'!L17,"AAAAAF+d9/8=")</f>
        <v>#VALUE!</v>
      </c>
    </row>
    <row r="21" spans="1:256" ht="12.75">
      <c r="A21" t="e">
        <f>AND('Application, couselor &amp; other'!M17,"AAAAAFb//gA=")</f>
        <v>#VALUE!</v>
      </c>
      <c r="B21" t="e">
        <f>AND('Application, couselor &amp; other'!N17,"AAAAAFb//gE=")</f>
        <v>#VALUE!</v>
      </c>
      <c r="C21">
        <f>IF('Application, couselor &amp; other'!18:18,"AAAAAFb//gI=",0)</f>
        <v>0</v>
      </c>
      <c r="D21" t="e">
        <f>AND('Application, couselor &amp; other'!A18,"AAAAAFb//gM=")</f>
        <v>#VALUE!</v>
      </c>
      <c r="E21" t="e">
        <f>AND('Application, couselor &amp; other'!B18,"AAAAAFb//gQ=")</f>
        <v>#VALUE!</v>
      </c>
      <c r="F21" t="e">
        <f>AND('Application, couselor &amp; other'!C18,"AAAAAFb//gU=")</f>
        <v>#VALUE!</v>
      </c>
      <c r="G21" t="e">
        <f>AND('Application, couselor &amp; other'!D18,"AAAAAFb//gY=")</f>
        <v>#VALUE!</v>
      </c>
      <c r="H21" t="e">
        <f>AND('Application, couselor &amp; other'!E18,"AAAAAFb//gc=")</f>
        <v>#VALUE!</v>
      </c>
      <c r="I21" t="e">
        <f>AND('Application, couselor &amp; other'!F18,"AAAAAFb//gg=")</f>
        <v>#VALUE!</v>
      </c>
      <c r="J21" t="e">
        <f>AND('Application, couselor &amp; other'!G18,"AAAAAFb//gk=")</f>
        <v>#VALUE!</v>
      </c>
      <c r="K21" t="e">
        <f>AND('Application, couselor &amp; other'!H18,"AAAAAFb//go=")</f>
        <v>#VALUE!</v>
      </c>
      <c r="L21" t="e">
        <f>AND('Application, couselor &amp; other'!I18,"AAAAAFb//gs=")</f>
        <v>#VALUE!</v>
      </c>
      <c r="M21" t="e">
        <f>AND('Application, couselor &amp; other'!J18,"AAAAAFb//gw=")</f>
        <v>#VALUE!</v>
      </c>
      <c r="N21" t="e">
        <f>AND('Application, couselor &amp; other'!K18,"AAAAAFb//g0=")</f>
        <v>#VALUE!</v>
      </c>
      <c r="O21" t="e">
        <f>AND('Application, couselor &amp; other'!L18,"AAAAAFb//g4=")</f>
        <v>#VALUE!</v>
      </c>
      <c r="P21" t="e">
        <f>AND('Application, couselor &amp; other'!M18,"AAAAAFb//g8=")</f>
        <v>#VALUE!</v>
      </c>
      <c r="Q21" t="e">
        <f>AND('Application, couselor &amp; other'!N18,"AAAAAFb//hA=")</f>
        <v>#VALUE!</v>
      </c>
      <c r="R21">
        <f>IF('Application, couselor &amp; other'!19:19,"AAAAAFb//hE=",0)</f>
        <v>0</v>
      </c>
      <c r="S21" t="e">
        <f>AND('Application, couselor &amp; other'!A19,"AAAAAFb//hI=")</f>
        <v>#VALUE!</v>
      </c>
      <c r="T21" t="e">
        <f>AND('Application, couselor &amp; other'!B19,"AAAAAFb//hM=")</f>
        <v>#VALUE!</v>
      </c>
      <c r="U21" t="e">
        <f>AND('Application, couselor &amp; other'!C19,"AAAAAFb//hQ=")</f>
        <v>#VALUE!</v>
      </c>
      <c r="V21" t="e">
        <f>AND('Application, couselor &amp; other'!D19,"AAAAAFb//hU=")</f>
        <v>#VALUE!</v>
      </c>
      <c r="W21" t="e">
        <f>AND('Application, couselor &amp; other'!E19,"AAAAAFb//hY=")</f>
        <v>#VALUE!</v>
      </c>
      <c r="X21" t="e">
        <f>AND('Application, couselor &amp; other'!F19,"AAAAAFb//hc=")</f>
        <v>#VALUE!</v>
      </c>
      <c r="Y21" t="e">
        <f>AND('Application, couselor &amp; other'!G19,"AAAAAFb//hg=")</f>
        <v>#VALUE!</v>
      </c>
      <c r="Z21" t="e">
        <f>AND('Application, couselor &amp; other'!H19,"AAAAAFb//hk=")</f>
        <v>#VALUE!</v>
      </c>
      <c r="AA21" t="e">
        <f>AND('Application, couselor &amp; other'!I19,"AAAAAFb//ho=")</f>
        <v>#VALUE!</v>
      </c>
      <c r="AB21" t="e">
        <f>AND('Application, couselor &amp; other'!J19,"AAAAAFb//hs=")</f>
        <v>#VALUE!</v>
      </c>
      <c r="AC21" t="e">
        <f>AND('Application, couselor &amp; other'!K19,"AAAAAFb//hw=")</f>
        <v>#VALUE!</v>
      </c>
      <c r="AD21" t="e">
        <f>AND('Application, couselor &amp; other'!L19,"AAAAAFb//h0=")</f>
        <v>#VALUE!</v>
      </c>
      <c r="AE21" t="e">
        <f>AND('Application, couselor &amp; other'!M19,"AAAAAFb//h4=")</f>
        <v>#VALUE!</v>
      </c>
      <c r="AF21" t="e">
        <f>AND('Application, couselor &amp; other'!N19,"AAAAAFb//h8=")</f>
        <v>#VALUE!</v>
      </c>
      <c r="AG21">
        <f>IF('Application, couselor &amp; other'!20:20,"AAAAAFb//iA=",0)</f>
        <v>0</v>
      </c>
      <c r="AH21" t="e">
        <f>AND('Application, couselor &amp; other'!A20,"AAAAAFb//iE=")</f>
        <v>#VALUE!</v>
      </c>
      <c r="AI21" t="e">
        <f>AND('Application, couselor &amp; other'!B20,"AAAAAFb//iI=")</f>
        <v>#VALUE!</v>
      </c>
      <c r="AJ21" t="e">
        <f>AND('Application, couselor &amp; other'!C20,"AAAAAFb//iM=")</f>
        <v>#VALUE!</v>
      </c>
      <c r="AK21" t="e">
        <f>AND('Application, couselor &amp; other'!D20,"AAAAAFb//iQ=")</f>
        <v>#VALUE!</v>
      </c>
      <c r="AL21" t="e">
        <f>AND('Application, couselor &amp; other'!E20,"AAAAAFb//iU=")</f>
        <v>#VALUE!</v>
      </c>
      <c r="AM21" t="e">
        <f>AND('Application, couselor &amp; other'!F20,"AAAAAFb//iY=")</f>
        <v>#VALUE!</v>
      </c>
      <c r="AN21" t="e">
        <f>AND('Application, couselor &amp; other'!G20,"AAAAAFb//ic=")</f>
        <v>#VALUE!</v>
      </c>
      <c r="AO21" t="e">
        <f>AND('Application, couselor &amp; other'!H20,"AAAAAFb//ig=")</f>
        <v>#VALUE!</v>
      </c>
      <c r="AP21" t="e">
        <f>AND('Application, couselor &amp; other'!I20,"AAAAAFb//ik=")</f>
        <v>#VALUE!</v>
      </c>
      <c r="AQ21" t="e">
        <f>AND('Application, couselor &amp; other'!J20,"AAAAAFb//io=")</f>
        <v>#VALUE!</v>
      </c>
      <c r="AR21" t="e">
        <f>AND('Application, couselor &amp; other'!K20,"AAAAAFb//is=")</f>
        <v>#VALUE!</v>
      </c>
      <c r="AS21" t="e">
        <f>AND('Application, couselor &amp; other'!L20,"AAAAAFb//iw=")</f>
        <v>#VALUE!</v>
      </c>
      <c r="AT21" t="e">
        <f>AND('Application, couselor &amp; other'!M20,"AAAAAFb//i0=")</f>
        <v>#VALUE!</v>
      </c>
      <c r="AU21" t="e">
        <f>AND('Application, couselor &amp; other'!N20,"AAAAAFb//i4=")</f>
        <v>#VALUE!</v>
      </c>
      <c r="AV21">
        <f>IF('Application, couselor &amp; other'!21:21,"AAAAAFb//i8=",0)</f>
        <v>0</v>
      </c>
      <c r="AW21" t="e">
        <f>AND('Application, couselor &amp; other'!A21,"AAAAAFb//jA=")</f>
        <v>#VALUE!</v>
      </c>
      <c r="AX21" t="e">
        <f>AND('Application, couselor &amp; other'!B21,"AAAAAFb//jE=")</f>
        <v>#VALUE!</v>
      </c>
      <c r="AY21" t="e">
        <f>AND('Application, couselor &amp; other'!C21,"AAAAAFb//jI=")</f>
        <v>#VALUE!</v>
      </c>
      <c r="AZ21" t="e">
        <f>AND('Application, couselor &amp; other'!D21,"AAAAAFb//jM=")</f>
        <v>#VALUE!</v>
      </c>
      <c r="BA21" t="e">
        <f>AND('Application, couselor &amp; other'!E21,"AAAAAFb//jQ=")</f>
        <v>#VALUE!</v>
      </c>
      <c r="BB21" t="e">
        <f>AND('Application, couselor &amp; other'!F21,"AAAAAFb//jU=")</f>
        <v>#VALUE!</v>
      </c>
      <c r="BC21" t="e">
        <f>AND('Application, couselor &amp; other'!G21,"AAAAAFb//jY=")</f>
        <v>#VALUE!</v>
      </c>
      <c r="BD21" t="e">
        <f>AND('Application, couselor &amp; other'!H21,"AAAAAFb//jc=")</f>
        <v>#VALUE!</v>
      </c>
      <c r="BE21" t="e">
        <f>AND('Application, couselor &amp; other'!I21,"AAAAAFb//jg=")</f>
        <v>#VALUE!</v>
      </c>
      <c r="BF21" t="e">
        <f>AND('Application, couselor &amp; other'!J21,"AAAAAFb//jk=")</f>
        <v>#VALUE!</v>
      </c>
      <c r="BG21" t="e">
        <f>AND('Application, couselor &amp; other'!K21,"AAAAAFb//jo=")</f>
        <v>#VALUE!</v>
      </c>
      <c r="BH21" t="e">
        <f>AND('Application, couselor &amp; other'!L21,"AAAAAFb//js=")</f>
        <v>#VALUE!</v>
      </c>
      <c r="BI21" t="e">
        <f>AND('Application, couselor &amp; other'!M21,"AAAAAFb//jw=")</f>
        <v>#VALUE!</v>
      </c>
      <c r="BJ21" t="e">
        <f>AND('Application, couselor &amp; other'!N21,"AAAAAFb//j0=")</f>
        <v>#VALUE!</v>
      </c>
      <c r="BK21">
        <f>IF('Application, couselor &amp; other'!22:22,"AAAAAFb//j4=",0)</f>
        <v>0</v>
      </c>
      <c r="BL21" t="e">
        <f>AND('Application, couselor &amp; other'!A22,"AAAAAFb//j8=")</f>
        <v>#VALUE!</v>
      </c>
      <c r="BM21" t="e">
        <f>AND('Application, couselor &amp; other'!B22,"AAAAAFb//kA=")</f>
        <v>#VALUE!</v>
      </c>
      <c r="BN21" t="e">
        <f>AND('Application, couselor &amp; other'!C22,"AAAAAFb//kE=")</f>
        <v>#VALUE!</v>
      </c>
      <c r="BO21" t="e">
        <f>AND('Application, couselor &amp; other'!D22,"AAAAAFb//kI=")</f>
        <v>#VALUE!</v>
      </c>
      <c r="BP21" t="e">
        <f>AND('Application, couselor &amp; other'!E22,"AAAAAFb//kM=")</f>
        <v>#VALUE!</v>
      </c>
      <c r="BQ21" t="e">
        <f>AND('Application, couselor &amp; other'!F22,"AAAAAFb//kQ=")</f>
        <v>#VALUE!</v>
      </c>
      <c r="BR21" t="e">
        <f>AND('Application, couselor &amp; other'!G22,"AAAAAFb//kU=")</f>
        <v>#VALUE!</v>
      </c>
      <c r="BS21" t="e">
        <f>AND('Application, couselor &amp; other'!H22,"AAAAAFb//kY=")</f>
        <v>#VALUE!</v>
      </c>
      <c r="BT21" t="e">
        <f>AND('Application, couselor &amp; other'!I22,"AAAAAFb//kc=")</f>
        <v>#VALUE!</v>
      </c>
      <c r="BU21" t="e">
        <f>AND('Application, couselor &amp; other'!J22,"AAAAAFb//kg=")</f>
        <v>#VALUE!</v>
      </c>
      <c r="BV21" t="e">
        <f>AND('Application, couselor &amp; other'!K22,"AAAAAFb//kk=")</f>
        <v>#VALUE!</v>
      </c>
      <c r="BW21" t="e">
        <f>AND('Application, couselor &amp; other'!L22,"AAAAAFb//ko=")</f>
        <v>#VALUE!</v>
      </c>
      <c r="BX21" t="e">
        <f>AND('Application, couselor &amp; other'!M22,"AAAAAFb//ks=")</f>
        <v>#VALUE!</v>
      </c>
      <c r="BY21" t="e">
        <f>AND('Application, couselor &amp; other'!N22,"AAAAAFb//kw=")</f>
        <v>#VALUE!</v>
      </c>
      <c r="BZ21">
        <f>IF('Application, couselor &amp; other'!23:23,"AAAAAFb//k0=",0)</f>
        <v>0</v>
      </c>
      <c r="CA21" t="e">
        <f>AND('Application, couselor &amp; other'!A23,"AAAAAFb//k4=")</f>
        <v>#VALUE!</v>
      </c>
      <c r="CB21" t="e">
        <f>AND('Application, couselor &amp; other'!B23,"AAAAAFb//k8=")</f>
        <v>#VALUE!</v>
      </c>
      <c r="CC21" t="e">
        <f>AND('Application, couselor &amp; other'!C23,"AAAAAFb//lA=")</f>
        <v>#VALUE!</v>
      </c>
      <c r="CD21" t="e">
        <f>AND('Application, couselor &amp; other'!D23,"AAAAAFb//lE=")</f>
        <v>#VALUE!</v>
      </c>
      <c r="CE21" t="e">
        <f>AND('Application, couselor &amp; other'!E23,"AAAAAFb//lI=")</f>
        <v>#VALUE!</v>
      </c>
      <c r="CF21" t="e">
        <f>AND('Application, couselor &amp; other'!F23,"AAAAAFb//lM=")</f>
        <v>#VALUE!</v>
      </c>
      <c r="CG21" t="e">
        <f>AND('Application, couselor &amp; other'!G23,"AAAAAFb//lQ=")</f>
        <v>#VALUE!</v>
      </c>
      <c r="CH21" t="e">
        <f>AND('Application, couselor &amp; other'!H23,"AAAAAFb//lU=")</f>
        <v>#VALUE!</v>
      </c>
      <c r="CI21" t="e">
        <f>AND('Application, couselor &amp; other'!I23,"AAAAAFb//lY=")</f>
        <v>#VALUE!</v>
      </c>
      <c r="CJ21" t="e">
        <f>AND('Application, couselor &amp; other'!J23,"AAAAAFb//lc=")</f>
        <v>#VALUE!</v>
      </c>
      <c r="CK21" t="e">
        <f>AND('Application, couselor &amp; other'!K23,"AAAAAFb//lg=")</f>
        <v>#VALUE!</v>
      </c>
      <c r="CL21" t="e">
        <f>AND('Application, couselor &amp; other'!L23,"AAAAAFb//lk=")</f>
        <v>#VALUE!</v>
      </c>
      <c r="CM21" t="e">
        <f>AND('Application, couselor &amp; other'!M23,"AAAAAFb//lo=")</f>
        <v>#VALUE!</v>
      </c>
      <c r="CN21" t="e">
        <f>AND('Application, couselor &amp; other'!N23,"AAAAAFb//ls=")</f>
        <v>#VALUE!</v>
      </c>
      <c r="CO21">
        <f>IF('Application, couselor &amp; other'!24:24,"AAAAAFb//lw=",0)</f>
        <v>0</v>
      </c>
      <c r="CP21" t="e">
        <f>AND('Application, couselor &amp; other'!A24,"AAAAAFb//l0=")</f>
        <v>#VALUE!</v>
      </c>
      <c r="CQ21" t="e">
        <f>AND('Application, couselor &amp; other'!B24,"AAAAAFb//l4=")</f>
        <v>#VALUE!</v>
      </c>
      <c r="CR21" t="e">
        <f>AND('Application, couselor &amp; other'!C24,"AAAAAFb//l8=")</f>
        <v>#VALUE!</v>
      </c>
      <c r="CS21" t="e">
        <f>AND('Application, couselor &amp; other'!D24,"AAAAAFb//mA=")</f>
        <v>#VALUE!</v>
      </c>
      <c r="CT21" t="e">
        <f>AND('Application, couselor &amp; other'!E24,"AAAAAFb//mE=")</f>
        <v>#VALUE!</v>
      </c>
      <c r="CU21" t="e">
        <f>AND('Application, couselor &amp; other'!F24,"AAAAAFb//mI=")</f>
        <v>#VALUE!</v>
      </c>
      <c r="CV21" t="e">
        <f>AND('Application, couselor &amp; other'!G24,"AAAAAFb//mM=")</f>
        <v>#VALUE!</v>
      </c>
      <c r="CW21" t="e">
        <f>AND('Application, couselor &amp; other'!H24,"AAAAAFb//mQ=")</f>
        <v>#VALUE!</v>
      </c>
      <c r="CX21" t="e">
        <f>AND('Application, couselor &amp; other'!I24,"AAAAAFb//mU=")</f>
        <v>#VALUE!</v>
      </c>
      <c r="CY21" t="e">
        <f>AND('Application, couselor &amp; other'!J24,"AAAAAFb//mY=")</f>
        <v>#VALUE!</v>
      </c>
      <c r="CZ21" t="e">
        <f>AND('Application, couselor &amp; other'!K24,"AAAAAFb//mc=")</f>
        <v>#VALUE!</v>
      </c>
      <c r="DA21" t="e">
        <f>AND('Application, couselor &amp; other'!L24,"AAAAAFb//mg=")</f>
        <v>#VALUE!</v>
      </c>
      <c r="DB21" t="e">
        <f>AND('Application, couselor &amp; other'!M24,"AAAAAFb//mk=")</f>
        <v>#VALUE!</v>
      </c>
      <c r="DC21" t="e">
        <f>AND('Application, couselor &amp; other'!N24,"AAAAAFb//mo=")</f>
        <v>#VALUE!</v>
      </c>
      <c r="DD21">
        <f>IF('Application, couselor &amp; other'!25:25,"AAAAAFb//ms=",0)</f>
        <v>0</v>
      </c>
      <c r="DE21" t="e">
        <f>AND('Application, couselor &amp; other'!A25,"AAAAAFb//mw=")</f>
        <v>#VALUE!</v>
      </c>
      <c r="DF21" t="e">
        <f>AND('Application, couselor &amp; other'!B25,"AAAAAFb//m0=")</f>
        <v>#VALUE!</v>
      </c>
      <c r="DG21" t="e">
        <f>AND('Application, couselor &amp; other'!C25,"AAAAAFb//m4=")</f>
        <v>#VALUE!</v>
      </c>
      <c r="DH21" t="e">
        <f>AND('Application, couselor &amp; other'!D25,"AAAAAFb//m8=")</f>
        <v>#VALUE!</v>
      </c>
      <c r="DI21" t="e">
        <f>AND('Application, couselor &amp; other'!E25,"AAAAAFb//nA=")</f>
        <v>#VALUE!</v>
      </c>
      <c r="DJ21" t="e">
        <f>AND('Application, couselor &amp; other'!F25,"AAAAAFb//nE=")</f>
        <v>#VALUE!</v>
      </c>
      <c r="DK21" t="e">
        <f>AND('Application, couselor &amp; other'!G25,"AAAAAFb//nI=")</f>
        <v>#VALUE!</v>
      </c>
      <c r="DL21" t="e">
        <f>AND('Application, couselor &amp; other'!H25,"AAAAAFb//nM=")</f>
        <v>#VALUE!</v>
      </c>
      <c r="DM21" t="e">
        <f>AND('Application, couselor &amp; other'!I25,"AAAAAFb//nQ=")</f>
        <v>#VALUE!</v>
      </c>
      <c r="DN21" t="e">
        <f>AND('Application, couselor &amp; other'!J25,"AAAAAFb//nU=")</f>
        <v>#VALUE!</v>
      </c>
      <c r="DO21" t="e">
        <f>AND('Application, couselor &amp; other'!K25,"AAAAAFb//nY=")</f>
        <v>#VALUE!</v>
      </c>
      <c r="DP21" t="e">
        <f>AND('Application, couselor &amp; other'!L25,"AAAAAFb//nc=")</f>
        <v>#VALUE!</v>
      </c>
      <c r="DQ21" t="e">
        <f>AND('Application, couselor &amp; other'!M25,"AAAAAFb//ng=")</f>
        <v>#VALUE!</v>
      </c>
      <c r="DR21" t="e">
        <f>AND('Application, couselor &amp; other'!N25,"AAAAAFb//nk=")</f>
        <v>#VALUE!</v>
      </c>
      <c r="DS21">
        <f>IF('Application, couselor &amp; other'!26:26,"AAAAAFb//no=",0)</f>
        <v>0</v>
      </c>
      <c r="DT21" t="e">
        <f>AND('Application, couselor &amp; other'!A26,"AAAAAFb//ns=")</f>
        <v>#VALUE!</v>
      </c>
      <c r="DU21" t="e">
        <f>AND('Application, couselor &amp; other'!B26,"AAAAAFb//nw=")</f>
        <v>#VALUE!</v>
      </c>
      <c r="DV21" t="e">
        <f>AND('Application, couselor &amp; other'!C26,"AAAAAFb//n0=")</f>
        <v>#VALUE!</v>
      </c>
      <c r="DW21" t="e">
        <f>AND('Application, couselor &amp; other'!D26,"AAAAAFb//n4=")</f>
        <v>#VALUE!</v>
      </c>
      <c r="DX21" t="e">
        <f>AND('Application, couselor &amp; other'!E26,"AAAAAFb//n8=")</f>
        <v>#VALUE!</v>
      </c>
      <c r="DY21" t="e">
        <f>AND('Application, couselor &amp; other'!F26,"AAAAAFb//oA=")</f>
        <v>#VALUE!</v>
      </c>
      <c r="DZ21" t="e">
        <f>AND('Application, couselor &amp; other'!G26,"AAAAAFb//oE=")</f>
        <v>#VALUE!</v>
      </c>
      <c r="EA21" t="e">
        <f>AND('Application, couselor &amp; other'!H26,"AAAAAFb//oI=")</f>
        <v>#VALUE!</v>
      </c>
      <c r="EB21" t="e">
        <f>AND('Application, couselor &amp; other'!I26,"AAAAAFb//oM=")</f>
        <v>#VALUE!</v>
      </c>
      <c r="EC21" t="e">
        <f>AND('Application, couselor &amp; other'!J26,"AAAAAFb//oQ=")</f>
        <v>#VALUE!</v>
      </c>
      <c r="ED21" t="e">
        <f>AND('Application, couselor &amp; other'!K26,"AAAAAFb//oU=")</f>
        <v>#VALUE!</v>
      </c>
      <c r="EE21" t="e">
        <f>AND('Application, couselor &amp; other'!L26,"AAAAAFb//oY=")</f>
        <v>#VALUE!</v>
      </c>
      <c r="EF21" t="e">
        <f>AND('Application, couselor &amp; other'!M26,"AAAAAFb//oc=")</f>
        <v>#VALUE!</v>
      </c>
      <c r="EG21" t="e">
        <f>AND('Application, couselor &amp; other'!N26,"AAAAAFb//og=")</f>
        <v>#VALUE!</v>
      </c>
      <c r="EH21">
        <f>IF('Application, couselor &amp; other'!27:27,"AAAAAFb//ok=",0)</f>
        <v>0</v>
      </c>
      <c r="EI21" t="e">
        <f>AND('Application, couselor &amp; other'!A27,"AAAAAFb//oo=")</f>
        <v>#VALUE!</v>
      </c>
      <c r="EJ21" t="e">
        <f>AND('Application, couselor &amp; other'!B27,"AAAAAFb//os=")</f>
        <v>#VALUE!</v>
      </c>
      <c r="EK21" t="e">
        <f>AND('Application, couselor &amp; other'!C27,"AAAAAFb//ow=")</f>
        <v>#VALUE!</v>
      </c>
      <c r="EL21" t="e">
        <f>AND('Application, couselor &amp; other'!D27,"AAAAAFb//o0=")</f>
        <v>#VALUE!</v>
      </c>
      <c r="EM21" t="e">
        <f>AND('Application, couselor &amp; other'!E27,"AAAAAFb//o4=")</f>
        <v>#VALUE!</v>
      </c>
      <c r="EN21" t="e">
        <f>AND('Application, couselor &amp; other'!F27,"AAAAAFb//o8=")</f>
        <v>#VALUE!</v>
      </c>
      <c r="EO21" t="e">
        <f>AND('Application, couselor &amp; other'!G27,"AAAAAFb//pA=")</f>
        <v>#VALUE!</v>
      </c>
      <c r="EP21" t="e">
        <f>AND('Application, couselor &amp; other'!H27,"AAAAAFb//pE=")</f>
        <v>#VALUE!</v>
      </c>
      <c r="EQ21" t="e">
        <f>AND('Application, couselor &amp; other'!I27,"AAAAAFb//pI=")</f>
        <v>#VALUE!</v>
      </c>
      <c r="ER21" t="e">
        <f>AND('Application, couselor &amp; other'!J27,"AAAAAFb//pM=")</f>
        <v>#VALUE!</v>
      </c>
      <c r="ES21" t="e">
        <f>AND('Application, couselor &amp; other'!K27,"AAAAAFb//pQ=")</f>
        <v>#VALUE!</v>
      </c>
      <c r="ET21" t="e">
        <f>AND('Application, couselor &amp; other'!L27,"AAAAAFb//pU=")</f>
        <v>#VALUE!</v>
      </c>
      <c r="EU21" t="e">
        <f>AND('Application, couselor &amp; other'!M27,"AAAAAFb//pY=")</f>
        <v>#VALUE!</v>
      </c>
      <c r="EV21" t="e">
        <f>AND('Application, couselor &amp; other'!N27,"AAAAAFb//pc=")</f>
        <v>#VALUE!</v>
      </c>
      <c r="EW21">
        <f>IF('Application, couselor &amp; other'!28:28,"AAAAAFb//pg=",0)</f>
        <v>0</v>
      </c>
      <c r="EX21" t="e">
        <f>AND('Application, couselor &amp; other'!A28,"AAAAAFb//pk=")</f>
        <v>#VALUE!</v>
      </c>
      <c r="EY21" t="e">
        <f>AND('Application, couselor &amp; other'!B28,"AAAAAFb//po=")</f>
        <v>#VALUE!</v>
      </c>
      <c r="EZ21" t="e">
        <f>AND('Application, couselor &amp; other'!C28,"AAAAAFb//ps=")</f>
        <v>#VALUE!</v>
      </c>
      <c r="FA21" t="e">
        <f>AND('Application, couselor &amp; other'!D28,"AAAAAFb//pw=")</f>
        <v>#VALUE!</v>
      </c>
      <c r="FB21" t="e">
        <f>AND('Application, couselor &amp; other'!E28,"AAAAAFb//p0=")</f>
        <v>#VALUE!</v>
      </c>
      <c r="FC21" t="e">
        <f>AND('Application, couselor &amp; other'!F28,"AAAAAFb//p4=")</f>
        <v>#VALUE!</v>
      </c>
      <c r="FD21" t="e">
        <f>AND('Application, couselor &amp; other'!G28,"AAAAAFb//p8=")</f>
        <v>#VALUE!</v>
      </c>
      <c r="FE21" t="e">
        <f>AND('Application, couselor &amp; other'!H28,"AAAAAFb//qA=")</f>
        <v>#VALUE!</v>
      </c>
      <c r="FF21" t="e">
        <f>AND('Application, couselor &amp; other'!I28,"AAAAAFb//qE=")</f>
        <v>#VALUE!</v>
      </c>
      <c r="FG21" t="e">
        <f>AND('Application, couselor &amp; other'!J28,"AAAAAFb//qI=")</f>
        <v>#VALUE!</v>
      </c>
      <c r="FH21" t="e">
        <f>AND('Application, couselor &amp; other'!K28,"AAAAAFb//qM=")</f>
        <v>#VALUE!</v>
      </c>
      <c r="FI21" t="e">
        <f>AND('Application, couselor &amp; other'!L28,"AAAAAFb//qQ=")</f>
        <v>#VALUE!</v>
      </c>
      <c r="FJ21" t="e">
        <f>AND('Application, couselor &amp; other'!M28,"AAAAAFb//qU=")</f>
        <v>#VALUE!</v>
      </c>
      <c r="FK21" t="e">
        <f>AND('Application, couselor &amp; other'!N28,"AAAAAFb//qY=")</f>
        <v>#VALUE!</v>
      </c>
      <c r="FL21">
        <f>IF('Application, couselor &amp; other'!29:29,"AAAAAFb//qc=",0)</f>
        <v>0</v>
      </c>
      <c r="FM21" t="e">
        <f>AND('Application, couselor &amp; other'!A29,"AAAAAFb//qg=")</f>
        <v>#VALUE!</v>
      </c>
      <c r="FN21" t="e">
        <f>AND('Application, couselor &amp; other'!B29,"AAAAAFb//qk=")</f>
        <v>#VALUE!</v>
      </c>
      <c r="FO21" t="e">
        <f>AND('Application, couselor &amp; other'!C29,"AAAAAFb//qo=")</f>
        <v>#VALUE!</v>
      </c>
      <c r="FP21" t="e">
        <f>AND('Application, couselor &amp; other'!D29,"AAAAAFb//qs=")</f>
        <v>#VALUE!</v>
      </c>
      <c r="FQ21" t="e">
        <f>AND('Application, couselor &amp; other'!E29,"AAAAAFb//qw=")</f>
        <v>#VALUE!</v>
      </c>
      <c r="FR21" t="e">
        <f>AND('Application, couselor &amp; other'!F29,"AAAAAFb//q0=")</f>
        <v>#VALUE!</v>
      </c>
      <c r="FS21" t="e">
        <f>AND('Application, couselor &amp; other'!G29,"AAAAAFb//q4=")</f>
        <v>#VALUE!</v>
      </c>
      <c r="FT21" t="e">
        <f>AND('Application, couselor &amp; other'!H29,"AAAAAFb//q8=")</f>
        <v>#VALUE!</v>
      </c>
      <c r="FU21" t="e">
        <f>AND('Application, couselor &amp; other'!I29,"AAAAAFb//rA=")</f>
        <v>#VALUE!</v>
      </c>
      <c r="FV21" t="e">
        <f>AND('Application, couselor &amp; other'!J29,"AAAAAFb//rE=")</f>
        <v>#VALUE!</v>
      </c>
      <c r="FW21" t="e">
        <f>AND('Application, couselor &amp; other'!K29,"AAAAAFb//rI=")</f>
        <v>#VALUE!</v>
      </c>
      <c r="FX21" t="e">
        <f>AND('Application, couselor &amp; other'!L29,"AAAAAFb//rM=")</f>
        <v>#VALUE!</v>
      </c>
      <c r="FY21" t="e">
        <f>AND('Application, couselor &amp; other'!M29,"AAAAAFb//rQ=")</f>
        <v>#VALUE!</v>
      </c>
      <c r="FZ21" t="e">
        <f>AND('Application, couselor &amp; other'!N29,"AAAAAFb//rU=")</f>
        <v>#VALUE!</v>
      </c>
      <c r="GA21">
        <f>IF('Application, couselor &amp; other'!30:30,"AAAAAFb//rY=",0)</f>
        <v>0</v>
      </c>
      <c r="GB21" t="e">
        <f>AND('Application, couselor &amp; other'!A30,"AAAAAFb//rc=")</f>
        <v>#VALUE!</v>
      </c>
      <c r="GC21" t="e">
        <f>AND('Application, couselor &amp; other'!B30,"AAAAAFb//rg=")</f>
        <v>#VALUE!</v>
      </c>
      <c r="GD21" t="e">
        <f>AND('Application, couselor &amp; other'!C30,"AAAAAFb//rk=")</f>
        <v>#VALUE!</v>
      </c>
      <c r="GE21" t="e">
        <f>AND('Application, couselor &amp; other'!D30,"AAAAAFb//ro=")</f>
        <v>#VALUE!</v>
      </c>
      <c r="GF21" t="e">
        <f>AND('Application, couselor &amp; other'!E30,"AAAAAFb//rs=")</f>
        <v>#VALUE!</v>
      </c>
      <c r="GG21" t="e">
        <f>AND('Application, couselor &amp; other'!F30,"AAAAAFb//rw=")</f>
        <v>#VALUE!</v>
      </c>
      <c r="GH21" t="e">
        <f>AND('Application, couselor &amp; other'!G30,"AAAAAFb//r0=")</f>
        <v>#VALUE!</v>
      </c>
      <c r="GI21" t="e">
        <f>AND('Application, couselor &amp; other'!H30,"AAAAAFb//r4=")</f>
        <v>#VALUE!</v>
      </c>
      <c r="GJ21" t="e">
        <f>AND('Application, couselor &amp; other'!I30,"AAAAAFb//r8=")</f>
        <v>#VALUE!</v>
      </c>
      <c r="GK21" t="e">
        <f>AND('Application, couselor &amp; other'!J30,"AAAAAFb//sA=")</f>
        <v>#VALUE!</v>
      </c>
      <c r="GL21" t="e">
        <f>AND('Application, couselor &amp; other'!K30,"AAAAAFb//sE=")</f>
        <v>#VALUE!</v>
      </c>
      <c r="GM21" t="e">
        <f>AND('Application, couselor &amp; other'!L30,"AAAAAFb//sI=")</f>
        <v>#VALUE!</v>
      </c>
      <c r="GN21" t="e">
        <f>AND('Application, couselor &amp; other'!M30,"AAAAAFb//sM=")</f>
        <v>#VALUE!</v>
      </c>
      <c r="GO21" t="e">
        <f>AND('Application, couselor &amp; other'!N30,"AAAAAFb//sQ=")</f>
        <v>#VALUE!</v>
      </c>
      <c r="GP21">
        <f>IF('Application, couselor &amp; other'!31:31,"AAAAAFb//sU=",0)</f>
        <v>0</v>
      </c>
      <c r="GQ21" t="e">
        <f>AND('Application, couselor &amp; other'!A31,"AAAAAFb//sY=")</f>
        <v>#VALUE!</v>
      </c>
      <c r="GR21" t="e">
        <f>AND('Application, couselor &amp; other'!B31,"AAAAAFb//sc=")</f>
        <v>#VALUE!</v>
      </c>
      <c r="GS21" t="e">
        <f>AND('Application, couselor &amp; other'!C31,"AAAAAFb//sg=")</f>
        <v>#VALUE!</v>
      </c>
      <c r="GT21" t="e">
        <f>AND('Application, couselor &amp; other'!D31,"AAAAAFb//sk=")</f>
        <v>#VALUE!</v>
      </c>
      <c r="GU21" t="e">
        <f>AND('Application, couselor &amp; other'!E31,"AAAAAFb//so=")</f>
        <v>#VALUE!</v>
      </c>
      <c r="GV21" t="e">
        <f>AND('Application, couselor &amp; other'!F31,"AAAAAFb//ss=")</f>
        <v>#VALUE!</v>
      </c>
      <c r="GW21" t="e">
        <f>AND('Application, couselor &amp; other'!G31,"AAAAAFb//sw=")</f>
        <v>#VALUE!</v>
      </c>
      <c r="GX21" t="e">
        <f>AND('Application, couselor &amp; other'!H31,"AAAAAFb//s0=")</f>
        <v>#VALUE!</v>
      </c>
      <c r="GY21" t="e">
        <f>AND('Application, couselor &amp; other'!I31,"AAAAAFb//s4=")</f>
        <v>#VALUE!</v>
      </c>
      <c r="GZ21" t="e">
        <f>AND('Application, couselor &amp; other'!J31,"AAAAAFb//s8=")</f>
        <v>#VALUE!</v>
      </c>
      <c r="HA21" t="e">
        <f>AND('Application, couselor &amp; other'!K31,"AAAAAFb//tA=")</f>
        <v>#VALUE!</v>
      </c>
      <c r="HB21" t="e">
        <f>AND('Application, couselor &amp; other'!L31,"AAAAAFb//tE=")</f>
        <v>#VALUE!</v>
      </c>
      <c r="HC21" t="e">
        <f>AND('Application, couselor &amp; other'!M31,"AAAAAFb//tI=")</f>
        <v>#VALUE!</v>
      </c>
      <c r="HD21" t="e">
        <f>AND('Application, couselor &amp; other'!N31,"AAAAAFb//tM=")</f>
        <v>#VALUE!</v>
      </c>
      <c r="HE21">
        <f>IF('Application, couselor &amp; other'!32:32,"AAAAAFb//tQ=",0)</f>
        <v>0</v>
      </c>
      <c r="HF21" t="e">
        <f>AND('Application, couselor &amp; other'!A32,"AAAAAFb//tU=")</f>
        <v>#VALUE!</v>
      </c>
      <c r="HG21" t="e">
        <f>AND('Application, couselor &amp; other'!B32,"AAAAAFb//tY=")</f>
        <v>#VALUE!</v>
      </c>
      <c r="HH21" t="e">
        <f>AND('Application, couselor &amp; other'!C32,"AAAAAFb//tc=")</f>
        <v>#VALUE!</v>
      </c>
      <c r="HI21" t="e">
        <f>AND('Application, couselor &amp; other'!D32,"AAAAAFb//tg=")</f>
        <v>#VALUE!</v>
      </c>
      <c r="HJ21" t="e">
        <f>AND('Application, couselor &amp; other'!E32,"AAAAAFb//tk=")</f>
        <v>#VALUE!</v>
      </c>
      <c r="HK21" t="e">
        <f>AND('Application, couselor &amp; other'!F32,"AAAAAFb//to=")</f>
        <v>#VALUE!</v>
      </c>
      <c r="HL21" t="e">
        <f>AND('Application, couselor &amp; other'!G32,"AAAAAFb//ts=")</f>
        <v>#VALUE!</v>
      </c>
      <c r="HM21" t="e">
        <f>AND('Application, couselor &amp; other'!H32,"AAAAAFb//tw=")</f>
        <v>#VALUE!</v>
      </c>
      <c r="HN21" t="e">
        <f>AND('Application, couselor &amp; other'!I32,"AAAAAFb//t0=")</f>
        <v>#VALUE!</v>
      </c>
      <c r="HO21" t="e">
        <f>AND('Application, couselor &amp; other'!J32,"AAAAAFb//t4=")</f>
        <v>#VALUE!</v>
      </c>
      <c r="HP21" t="e">
        <f>AND('Application, couselor &amp; other'!K32,"AAAAAFb//t8=")</f>
        <v>#VALUE!</v>
      </c>
      <c r="HQ21" t="e">
        <f>AND('Application, couselor &amp; other'!L32,"AAAAAFb//uA=")</f>
        <v>#VALUE!</v>
      </c>
      <c r="HR21" t="e">
        <f>AND('Application, couselor &amp; other'!M32,"AAAAAFb//uE=")</f>
        <v>#VALUE!</v>
      </c>
      <c r="HS21" t="e">
        <f>AND('Application, couselor &amp; other'!N32,"AAAAAFb//uI=")</f>
        <v>#VALUE!</v>
      </c>
      <c r="HT21">
        <f>IF('Application, couselor &amp; other'!33:33,"AAAAAFb//uM=",0)</f>
        <v>0</v>
      </c>
      <c r="HU21" t="e">
        <f>AND('Application, couselor &amp; other'!A33,"AAAAAFb//uQ=")</f>
        <v>#VALUE!</v>
      </c>
      <c r="HV21" t="e">
        <f>AND('Application, couselor &amp; other'!B33,"AAAAAFb//uU=")</f>
        <v>#VALUE!</v>
      </c>
      <c r="HW21" t="e">
        <f>AND('Application, couselor &amp; other'!C33,"AAAAAFb//uY=")</f>
        <v>#VALUE!</v>
      </c>
      <c r="HX21" t="e">
        <f>AND('Application, couselor &amp; other'!D33,"AAAAAFb//uc=")</f>
        <v>#VALUE!</v>
      </c>
      <c r="HY21" t="e">
        <f>AND('Application, couselor &amp; other'!E33,"AAAAAFb//ug=")</f>
        <v>#VALUE!</v>
      </c>
      <c r="HZ21" t="e">
        <f>AND('Application, couselor &amp; other'!F33,"AAAAAFb//uk=")</f>
        <v>#VALUE!</v>
      </c>
      <c r="IA21" t="e">
        <f>AND('Application, couselor &amp; other'!G33,"AAAAAFb//uo=")</f>
        <v>#VALUE!</v>
      </c>
      <c r="IB21" t="e">
        <f>AND('Application, couselor &amp; other'!H33,"AAAAAFb//us=")</f>
        <v>#VALUE!</v>
      </c>
      <c r="IC21" t="e">
        <f>AND('Application, couselor &amp; other'!I33,"AAAAAFb//uw=")</f>
        <v>#VALUE!</v>
      </c>
      <c r="ID21" t="e">
        <f>AND('Application, couselor &amp; other'!J33,"AAAAAFb//u0=")</f>
        <v>#VALUE!</v>
      </c>
      <c r="IE21" t="e">
        <f>AND('Application, couselor &amp; other'!K33,"AAAAAFb//u4=")</f>
        <v>#VALUE!</v>
      </c>
      <c r="IF21" t="e">
        <f>AND('Application, couselor &amp; other'!L33,"AAAAAFb//u8=")</f>
        <v>#VALUE!</v>
      </c>
      <c r="IG21" t="e">
        <f>AND('Application, couselor &amp; other'!M33,"AAAAAFb//vA=")</f>
        <v>#VALUE!</v>
      </c>
      <c r="IH21" t="e">
        <f>AND('Application, couselor &amp; other'!N33,"AAAAAFb//vE=")</f>
        <v>#VALUE!</v>
      </c>
      <c r="II21">
        <f>IF('Application, couselor &amp; other'!34:34,"AAAAAFb//vI=",0)</f>
        <v>0</v>
      </c>
      <c r="IJ21" t="e">
        <f>AND('Application, couselor &amp; other'!A34,"AAAAAFb//vM=")</f>
        <v>#VALUE!</v>
      </c>
      <c r="IK21" t="e">
        <f>AND('Application, couselor &amp; other'!B34,"AAAAAFb//vQ=")</f>
        <v>#VALUE!</v>
      </c>
      <c r="IL21" t="e">
        <f>AND('Application, couselor &amp; other'!C34,"AAAAAFb//vU=")</f>
        <v>#VALUE!</v>
      </c>
      <c r="IM21" t="e">
        <f>AND('Application, couselor &amp; other'!D34,"AAAAAFb//vY=")</f>
        <v>#VALUE!</v>
      </c>
      <c r="IN21" t="e">
        <f>AND('Application, couselor &amp; other'!E34,"AAAAAFb//vc=")</f>
        <v>#VALUE!</v>
      </c>
      <c r="IO21" t="e">
        <f>AND('Application, couselor &amp; other'!F34,"AAAAAFb//vg=")</f>
        <v>#VALUE!</v>
      </c>
      <c r="IP21" t="e">
        <f>AND('Application, couselor &amp; other'!G34,"AAAAAFb//vk=")</f>
        <v>#VALUE!</v>
      </c>
      <c r="IQ21" t="e">
        <f>AND('Application, couselor &amp; other'!H34,"AAAAAFb//vo=")</f>
        <v>#VALUE!</v>
      </c>
      <c r="IR21" t="e">
        <f>AND('Application, couselor &amp; other'!I34,"AAAAAFb//vs=")</f>
        <v>#VALUE!</v>
      </c>
      <c r="IS21" t="e">
        <f>AND('Application, couselor &amp; other'!J34,"AAAAAFb//vw=")</f>
        <v>#VALUE!</v>
      </c>
      <c r="IT21" t="e">
        <f>AND('Application, couselor &amp; other'!K34,"AAAAAFb//v0=")</f>
        <v>#VALUE!</v>
      </c>
      <c r="IU21" t="e">
        <f>AND('Application, couselor &amp; other'!L34,"AAAAAFb//v4=")</f>
        <v>#VALUE!</v>
      </c>
      <c r="IV21" t="e">
        <f>AND('Application, couselor &amp; other'!M34,"AAAAAFb//v8=")</f>
        <v>#VALUE!</v>
      </c>
    </row>
    <row r="22" spans="1:256" ht="12.75">
      <c r="A22" t="e">
        <f>AND('Application, couselor &amp; other'!N34,"AAAAAH/f+AA=")</f>
        <v>#VALUE!</v>
      </c>
      <c r="B22">
        <f>IF('Application, couselor &amp; other'!35:35,"AAAAAH/f+AE=",0)</f>
        <v>0</v>
      </c>
      <c r="C22" t="e">
        <f>AND('Application, couselor &amp; other'!A35,"AAAAAH/f+AI=")</f>
        <v>#VALUE!</v>
      </c>
      <c r="D22" t="e">
        <f>AND('Application, couselor &amp; other'!B35,"AAAAAH/f+AM=")</f>
        <v>#VALUE!</v>
      </c>
      <c r="E22" t="e">
        <f>AND('Application, couselor &amp; other'!C35,"AAAAAH/f+AQ=")</f>
        <v>#VALUE!</v>
      </c>
      <c r="F22" t="e">
        <f>AND('Application, couselor &amp; other'!D35,"AAAAAH/f+AU=")</f>
        <v>#VALUE!</v>
      </c>
      <c r="G22" t="e">
        <f>AND('Application, couselor &amp; other'!E35,"AAAAAH/f+AY=")</f>
        <v>#VALUE!</v>
      </c>
      <c r="H22" t="e">
        <f>AND('Application, couselor &amp; other'!F35,"AAAAAH/f+Ac=")</f>
        <v>#VALUE!</v>
      </c>
      <c r="I22" t="e">
        <f>AND('Application, couselor &amp; other'!G35,"AAAAAH/f+Ag=")</f>
        <v>#VALUE!</v>
      </c>
      <c r="J22" t="e">
        <f>AND('Application, couselor &amp; other'!H35,"AAAAAH/f+Ak=")</f>
        <v>#VALUE!</v>
      </c>
      <c r="K22" t="e">
        <f>AND('Application, couselor &amp; other'!I35,"AAAAAH/f+Ao=")</f>
        <v>#VALUE!</v>
      </c>
      <c r="L22" t="e">
        <f>AND('Application, couselor &amp; other'!J35,"AAAAAH/f+As=")</f>
        <v>#VALUE!</v>
      </c>
      <c r="M22" t="e">
        <f>AND('Application, couselor &amp; other'!K35,"AAAAAH/f+Aw=")</f>
        <v>#VALUE!</v>
      </c>
      <c r="N22" t="e">
        <f>AND('Application, couselor &amp; other'!L35,"AAAAAH/f+A0=")</f>
        <v>#VALUE!</v>
      </c>
      <c r="O22" t="e">
        <f>AND('Application, couselor &amp; other'!M35,"AAAAAH/f+A4=")</f>
        <v>#VALUE!</v>
      </c>
      <c r="P22" t="e">
        <f>AND('Application, couselor &amp; other'!N35,"AAAAAH/f+A8=")</f>
        <v>#VALUE!</v>
      </c>
      <c r="Q22">
        <f>IF('Application, couselor &amp; other'!36:36,"AAAAAH/f+BA=",0)</f>
        <v>0</v>
      </c>
      <c r="R22" t="e">
        <f>AND('Application, couselor &amp; other'!A36,"AAAAAH/f+BE=")</f>
        <v>#VALUE!</v>
      </c>
      <c r="S22" t="e">
        <f>AND('Application, couselor &amp; other'!B36,"AAAAAH/f+BI=")</f>
        <v>#VALUE!</v>
      </c>
      <c r="T22" t="e">
        <f>AND('Application, couselor &amp; other'!C36,"AAAAAH/f+BM=")</f>
        <v>#VALUE!</v>
      </c>
      <c r="U22" t="e">
        <f>AND('Application, couselor &amp; other'!D36,"AAAAAH/f+BQ=")</f>
        <v>#VALUE!</v>
      </c>
      <c r="V22" t="e">
        <f>AND('Application, couselor &amp; other'!E36,"AAAAAH/f+BU=")</f>
        <v>#VALUE!</v>
      </c>
      <c r="W22" t="e">
        <f>AND('Application, couselor &amp; other'!F36,"AAAAAH/f+BY=")</f>
        <v>#VALUE!</v>
      </c>
      <c r="X22" t="e">
        <f>AND('Application, couselor &amp; other'!G36,"AAAAAH/f+Bc=")</f>
        <v>#VALUE!</v>
      </c>
      <c r="Y22" t="e">
        <f>AND('Application, couselor &amp; other'!H36,"AAAAAH/f+Bg=")</f>
        <v>#VALUE!</v>
      </c>
      <c r="Z22" t="e">
        <f>AND('Application, couselor &amp; other'!I36,"AAAAAH/f+Bk=")</f>
        <v>#VALUE!</v>
      </c>
      <c r="AA22" t="e">
        <f>AND('Application, couselor &amp; other'!J36,"AAAAAH/f+Bo=")</f>
        <v>#VALUE!</v>
      </c>
      <c r="AB22" t="e">
        <f>AND('Application, couselor &amp; other'!K36,"AAAAAH/f+Bs=")</f>
        <v>#VALUE!</v>
      </c>
      <c r="AC22" t="e">
        <f>AND('Application, couselor &amp; other'!L36,"AAAAAH/f+Bw=")</f>
        <v>#VALUE!</v>
      </c>
      <c r="AD22" t="e">
        <f>AND('Application, couselor &amp; other'!M36,"AAAAAH/f+B0=")</f>
        <v>#VALUE!</v>
      </c>
      <c r="AE22" t="e">
        <f>AND('Application, couselor &amp; other'!N36,"AAAAAH/f+B4=")</f>
        <v>#VALUE!</v>
      </c>
      <c r="AF22">
        <f>IF('Application, couselor &amp; other'!37:37,"AAAAAH/f+B8=",0)</f>
        <v>0</v>
      </c>
      <c r="AG22" t="e">
        <f>AND('Application, couselor &amp; other'!A37,"AAAAAH/f+CA=")</f>
        <v>#VALUE!</v>
      </c>
      <c r="AH22" t="e">
        <f>AND('Application, couselor &amp; other'!B37,"AAAAAH/f+CE=")</f>
        <v>#VALUE!</v>
      </c>
      <c r="AI22" t="e">
        <f>AND('Application, couselor &amp; other'!C37,"AAAAAH/f+CI=")</f>
        <v>#VALUE!</v>
      </c>
      <c r="AJ22" t="e">
        <f>AND('Application, couselor &amp; other'!D37,"AAAAAH/f+CM=")</f>
        <v>#VALUE!</v>
      </c>
      <c r="AK22" t="e">
        <f>AND('Application, couselor &amp; other'!E37,"AAAAAH/f+CQ=")</f>
        <v>#VALUE!</v>
      </c>
      <c r="AL22" t="e">
        <f>AND('Application, couselor &amp; other'!F37,"AAAAAH/f+CU=")</f>
        <v>#VALUE!</v>
      </c>
      <c r="AM22" t="e">
        <f>AND('Application, couselor &amp; other'!G37,"AAAAAH/f+CY=")</f>
        <v>#VALUE!</v>
      </c>
      <c r="AN22" t="e">
        <f>AND('Application, couselor &amp; other'!H37,"AAAAAH/f+Cc=")</f>
        <v>#VALUE!</v>
      </c>
      <c r="AO22" t="e">
        <f>AND('Application, couselor &amp; other'!I37,"AAAAAH/f+Cg=")</f>
        <v>#VALUE!</v>
      </c>
      <c r="AP22" t="e">
        <f>AND('Application, couselor &amp; other'!J37,"AAAAAH/f+Ck=")</f>
        <v>#VALUE!</v>
      </c>
      <c r="AQ22" t="e">
        <f>AND('Application, couselor &amp; other'!K37,"AAAAAH/f+Co=")</f>
        <v>#VALUE!</v>
      </c>
      <c r="AR22" t="e">
        <f>AND('Application, couselor &amp; other'!L37,"AAAAAH/f+Cs=")</f>
        <v>#VALUE!</v>
      </c>
      <c r="AS22" t="e">
        <f>AND('Application, couselor &amp; other'!M37,"AAAAAH/f+Cw=")</f>
        <v>#VALUE!</v>
      </c>
      <c r="AT22" t="e">
        <f>AND('Application, couselor &amp; other'!N37,"AAAAAH/f+C0=")</f>
        <v>#VALUE!</v>
      </c>
      <c r="AU22">
        <f>IF('Application, couselor &amp; other'!38:38,"AAAAAH/f+C4=",0)</f>
        <v>0</v>
      </c>
      <c r="AV22" t="e">
        <f>AND('Application, couselor &amp; other'!A38,"AAAAAH/f+C8=")</f>
        <v>#VALUE!</v>
      </c>
      <c r="AW22" t="e">
        <f>AND('Application, couselor &amp; other'!B38,"AAAAAH/f+DA=")</f>
        <v>#VALUE!</v>
      </c>
      <c r="AX22" t="e">
        <f>AND('Application, couselor &amp; other'!C38,"AAAAAH/f+DE=")</f>
        <v>#VALUE!</v>
      </c>
      <c r="AY22" t="e">
        <f>AND('Application, couselor &amp; other'!D38,"AAAAAH/f+DI=")</f>
        <v>#VALUE!</v>
      </c>
      <c r="AZ22" t="e">
        <f>AND('Application, couselor &amp; other'!E38,"AAAAAH/f+DM=")</f>
        <v>#VALUE!</v>
      </c>
      <c r="BA22" t="e">
        <f>AND('Application, couselor &amp; other'!F38,"AAAAAH/f+DQ=")</f>
        <v>#VALUE!</v>
      </c>
      <c r="BB22" t="e">
        <f>AND('Application, couselor &amp; other'!G38,"AAAAAH/f+DU=")</f>
        <v>#VALUE!</v>
      </c>
      <c r="BC22" t="e">
        <f>AND('Application, couselor &amp; other'!H38,"AAAAAH/f+DY=")</f>
        <v>#VALUE!</v>
      </c>
      <c r="BD22" t="e">
        <f>AND('Application, couselor &amp; other'!I38,"AAAAAH/f+Dc=")</f>
        <v>#VALUE!</v>
      </c>
      <c r="BE22" t="e">
        <f>AND('Application, couselor &amp; other'!J38,"AAAAAH/f+Dg=")</f>
        <v>#VALUE!</v>
      </c>
      <c r="BF22" t="e">
        <f>AND('Application, couselor &amp; other'!K38,"AAAAAH/f+Dk=")</f>
        <v>#VALUE!</v>
      </c>
      <c r="BG22" t="e">
        <f>AND('Application, couselor &amp; other'!L38,"AAAAAH/f+Do=")</f>
        <v>#VALUE!</v>
      </c>
      <c r="BH22" t="e">
        <f>AND('Application, couselor &amp; other'!M38,"AAAAAH/f+Ds=")</f>
        <v>#VALUE!</v>
      </c>
      <c r="BI22" t="e">
        <f>AND('Application, couselor &amp; other'!N38,"AAAAAH/f+Dw=")</f>
        <v>#VALUE!</v>
      </c>
      <c r="BJ22">
        <f>IF('Application, couselor &amp; other'!39:39,"AAAAAH/f+D0=",0)</f>
        <v>0</v>
      </c>
      <c r="BK22" t="e">
        <f>AND('Application, couselor &amp; other'!A39,"AAAAAH/f+D4=")</f>
        <v>#VALUE!</v>
      </c>
      <c r="BL22" t="e">
        <f>AND('Application, couselor &amp; other'!B39,"AAAAAH/f+D8=")</f>
        <v>#VALUE!</v>
      </c>
      <c r="BM22" t="e">
        <f>AND('Application, couselor &amp; other'!C39,"AAAAAH/f+EA=")</f>
        <v>#VALUE!</v>
      </c>
      <c r="BN22" t="e">
        <f>AND('Application, couselor &amp; other'!D39,"AAAAAH/f+EE=")</f>
        <v>#VALUE!</v>
      </c>
      <c r="BO22" t="e">
        <f>AND('Application, couselor &amp; other'!E39,"AAAAAH/f+EI=")</f>
        <v>#VALUE!</v>
      </c>
      <c r="BP22" t="e">
        <f>AND('Application, couselor &amp; other'!F39,"AAAAAH/f+EM=")</f>
        <v>#VALUE!</v>
      </c>
      <c r="BQ22" t="e">
        <f>AND('Application, couselor &amp; other'!G39,"AAAAAH/f+EQ=")</f>
        <v>#VALUE!</v>
      </c>
      <c r="BR22" t="e">
        <f>AND('Application, couselor &amp; other'!H39,"AAAAAH/f+EU=")</f>
        <v>#VALUE!</v>
      </c>
      <c r="BS22" t="e">
        <f>AND('Application, couselor &amp; other'!I39,"AAAAAH/f+EY=")</f>
        <v>#VALUE!</v>
      </c>
      <c r="BT22" t="e">
        <f>AND('Application, couselor &amp; other'!J39,"AAAAAH/f+Ec=")</f>
        <v>#VALUE!</v>
      </c>
      <c r="BU22" t="e">
        <f>AND('Application, couselor &amp; other'!K39,"AAAAAH/f+Eg=")</f>
        <v>#VALUE!</v>
      </c>
      <c r="BV22" t="e">
        <f>AND('Application, couselor &amp; other'!L39,"AAAAAH/f+Ek=")</f>
        <v>#VALUE!</v>
      </c>
      <c r="BW22" t="e">
        <f>AND('Application, couselor &amp; other'!M39,"AAAAAH/f+Eo=")</f>
        <v>#VALUE!</v>
      </c>
      <c r="BX22" t="e">
        <f>AND('Application, couselor &amp; other'!N39,"AAAAAH/f+Es=")</f>
        <v>#VALUE!</v>
      </c>
      <c r="BY22">
        <f>IF('Application, couselor &amp; other'!40:40,"AAAAAH/f+Ew=",0)</f>
        <v>0</v>
      </c>
      <c r="BZ22" t="e">
        <f>AND('Application, couselor &amp; other'!A40,"AAAAAH/f+E0=")</f>
        <v>#VALUE!</v>
      </c>
      <c r="CA22" t="e">
        <f>AND('Application, couselor &amp; other'!B40,"AAAAAH/f+E4=")</f>
        <v>#VALUE!</v>
      </c>
      <c r="CB22" t="e">
        <f>AND('Application, couselor &amp; other'!C40,"AAAAAH/f+E8=")</f>
        <v>#VALUE!</v>
      </c>
      <c r="CC22" t="e">
        <f>AND('Application, couselor &amp; other'!D40,"AAAAAH/f+FA=")</f>
        <v>#VALUE!</v>
      </c>
      <c r="CD22" t="e">
        <f>AND('Application, couselor &amp; other'!E40,"AAAAAH/f+FE=")</f>
        <v>#VALUE!</v>
      </c>
      <c r="CE22" t="e">
        <f>AND('Application, couselor &amp; other'!F40,"AAAAAH/f+FI=")</f>
        <v>#VALUE!</v>
      </c>
      <c r="CF22" t="e">
        <f>AND('Application, couselor &amp; other'!G40,"AAAAAH/f+FM=")</f>
        <v>#VALUE!</v>
      </c>
      <c r="CG22" t="e">
        <f>AND('Application, couselor &amp; other'!H40,"AAAAAH/f+FQ=")</f>
        <v>#VALUE!</v>
      </c>
      <c r="CH22" t="e">
        <f>AND('Application, couselor &amp; other'!I40,"AAAAAH/f+FU=")</f>
        <v>#VALUE!</v>
      </c>
      <c r="CI22" t="e">
        <f>AND('Application, couselor &amp; other'!J40,"AAAAAH/f+FY=")</f>
        <v>#VALUE!</v>
      </c>
      <c r="CJ22" t="e">
        <f>AND('Application, couselor &amp; other'!K40,"AAAAAH/f+Fc=")</f>
        <v>#VALUE!</v>
      </c>
      <c r="CK22" t="e">
        <f>AND('Application, couselor &amp; other'!L40,"AAAAAH/f+Fg=")</f>
        <v>#VALUE!</v>
      </c>
      <c r="CL22" t="e">
        <f>AND('Application, couselor &amp; other'!M40,"AAAAAH/f+Fk=")</f>
        <v>#VALUE!</v>
      </c>
      <c r="CM22" t="e">
        <f>AND('Application, couselor &amp; other'!N40,"AAAAAH/f+Fo=")</f>
        <v>#VALUE!</v>
      </c>
      <c r="CN22">
        <f>IF('Application, couselor &amp; other'!41:41,"AAAAAH/f+Fs=",0)</f>
        <v>0</v>
      </c>
      <c r="CO22" t="e">
        <f>AND('Application, couselor &amp; other'!A41,"AAAAAH/f+Fw=")</f>
        <v>#VALUE!</v>
      </c>
      <c r="CP22" t="e">
        <f>AND('Application, couselor &amp; other'!B41,"AAAAAH/f+F0=")</f>
        <v>#VALUE!</v>
      </c>
      <c r="CQ22" t="e">
        <f>AND('Application, couselor &amp; other'!C41,"AAAAAH/f+F4=")</f>
        <v>#VALUE!</v>
      </c>
      <c r="CR22" t="e">
        <f>AND('Application, couselor &amp; other'!D41,"AAAAAH/f+F8=")</f>
        <v>#VALUE!</v>
      </c>
      <c r="CS22" t="e">
        <f>AND('Application, couselor &amp; other'!E41,"AAAAAH/f+GA=")</f>
        <v>#VALUE!</v>
      </c>
      <c r="CT22" t="e">
        <f>AND('Application, couselor &amp; other'!F41,"AAAAAH/f+GE=")</f>
        <v>#VALUE!</v>
      </c>
      <c r="CU22" t="e">
        <f>AND('Application, couselor &amp; other'!G41,"AAAAAH/f+GI=")</f>
        <v>#VALUE!</v>
      </c>
      <c r="CV22" t="e">
        <f>AND('Application, couselor &amp; other'!H41,"AAAAAH/f+GM=")</f>
        <v>#VALUE!</v>
      </c>
      <c r="CW22" t="e">
        <f>AND('Application, couselor &amp; other'!I41,"AAAAAH/f+GQ=")</f>
        <v>#VALUE!</v>
      </c>
      <c r="CX22" t="e">
        <f>AND('Application, couselor &amp; other'!J41,"AAAAAH/f+GU=")</f>
        <v>#VALUE!</v>
      </c>
      <c r="CY22" t="e">
        <f>AND('Application, couselor &amp; other'!K41,"AAAAAH/f+GY=")</f>
        <v>#VALUE!</v>
      </c>
      <c r="CZ22" t="e">
        <f>AND('Application, couselor &amp; other'!L41,"AAAAAH/f+Gc=")</f>
        <v>#VALUE!</v>
      </c>
      <c r="DA22" t="e">
        <f>AND('Application, couselor &amp; other'!M41,"AAAAAH/f+Gg=")</f>
        <v>#VALUE!</v>
      </c>
      <c r="DB22" t="e">
        <f>AND('Application, couselor &amp; other'!N41,"AAAAAH/f+Gk=")</f>
        <v>#VALUE!</v>
      </c>
      <c r="DC22">
        <f>IF('Application, couselor &amp; other'!42:42,"AAAAAH/f+Go=",0)</f>
        <v>0</v>
      </c>
      <c r="DD22" t="e">
        <f>AND('Application, couselor &amp; other'!A42,"AAAAAH/f+Gs=")</f>
        <v>#VALUE!</v>
      </c>
      <c r="DE22" t="e">
        <f>AND('Application, couselor &amp; other'!B42,"AAAAAH/f+Gw=")</f>
        <v>#VALUE!</v>
      </c>
      <c r="DF22" t="e">
        <f>AND('Application, couselor &amp; other'!C42,"AAAAAH/f+G0=")</f>
        <v>#VALUE!</v>
      </c>
      <c r="DG22" t="e">
        <f>AND('Application, couselor &amp; other'!D42,"AAAAAH/f+G4=")</f>
        <v>#VALUE!</v>
      </c>
      <c r="DH22" t="e">
        <f>AND('Application, couselor &amp; other'!E42,"AAAAAH/f+G8=")</f>
        <v>#VALUE!</v>
      </c>
      <c r="DI22" t="e">
        <f>AND('Application, couselor &amp; other'!F42,"AAAAAH/f+HA=")</f>
        <v>#VALUE!</v>
      </c>
      <c r="DJ22" t="e">
        <f>AND('Application, couselor &amp; other'!G42,"AAAAAH/f+HE=")</f>
        <v>#VALUE!</v>
      </c>
      <c r="DK22" t="e">
        <f>AND('Application, couselor &amp; other'!H42,"AAAAAH/f+HI=")</f>
        <v>#VALUE!</v>
      </c>
      <c r="DL22" t="e">
        <f>AND('Application, couselor &amp; other'!I42,"AAAAAH/f+HM=")</f>
        <v>#VALUE!</v>
      </c>
      <c r="DM22" t="e">
        <f>AND('Application, couselor &amp; other'!J42,"AAAAAH/f+HQ=")</f>
        <v>#VALUE!</v>
      </c>
      <c r="DN22" t="e">
        <f>AND('Application, couselor &amp; other'!K42,"AAAAAH/f+HU=")</f>
        <v>#VALUE!</v>
      </c>
      <c r="DO22" t="e">
        <f>AND('Application, couselor &amp; other'!L42,"AAAAAH/f+HY=")</f>
        <v>#VALUE!</v>
      </c>
      <c r="DP22" t="e">
        <f>AND('Application, couselor &amp; other'!M42,"AAAAAH/f+Hc=")</f>
        <v>#VALUE!</v>
      </c>
      <c r="DQ22" t="e">
        <f>AND('Application, couselor &amp; other'!N42,"AAAAAH/f+Hg=")</f>
        <v>#VALUE!</v>
      </c>
      <c r="DR22">
        <f>IF('Application, couselor &amp; other'!43:43,"AAAAAH/f+Hk=",0)</f>
        <v>0</v>
      </c>
      <c r="DS22" t="e">
        <f>AND('Application, couselor &amp; other'!A43,"AAAAAH/f+Ho=")</f>
        <v>#VALUE!</v>
      </c>
      <c r="DT22" t="e">
        <f>AND('Application, couselor &amp; other'!B43,"AAAAAH/f+Hs=")</f>
        <v>#VALUE!</v>
      </c>
      <c r="DU22" t="e">
        <f>AND('Application, couselor &amp; other'!C43,"AAAAAH/f+Hw=")</f>
        <v>#VALUE!</v>
      </c>
      <c r="DV22" t="e">
        <f>AND('Application, couselor &amp; other'!D43,"AAAAAH/f+H0=")</f>
        <v>#VALUE!</v>
      </c>
      <c r="DW22" t="e">
        <f>AND('Application, couselor &amp; other'!E43,"AAAAAH/f+H4=")</f>
        <v>#VALUE!</v>
      </c>
      <c r="DX22" t="e">
        <f>AND('Application, couselor &amp; other'!F43,"AAAAAH/f+H8=")</f>
        <v>#VALUE!</v>
      </c>
      <c r="DY22" t="e">
        <f>AND('Application, couselor &amp; other'!G43,"AAAAAH/f+IA=")</f>
        <v>#VALUE!</v>
      </c>
      <c r="DZ22" t="e">
        <f>AND('Application, couselor &amp; other'!H43,"AAAAAH/f+IE=")</f>
        <v>#VALUE!</v>
      </c>
      <c r="EA22" t="e">
        <f>AND('Application, couselor &amp; other'!I43,"AAAAAH/f+II=")</f>
        <v>#VALUE!</v>
      </c>
      <c r="EB22" t="e">
        <f>AND('Application, couselor &amp; other'!J43,"AAAAAH/f+IM=")</f>
        <v>#VALUE!</v>
      </c>
      <c r="EC22" t="e">
        <f>AND('Application, couselor &amp; other'!K43,"AAAAAH/f+IQ=")</f>
        <v>#VALUE!</v>
      </c>
      <c r="ED22" t="e">
        <f>AND('Application, couselor &amp; other'!L43,"AAAAAH/f+IU=")</f>
        <v>#VALUE!</v>
      </c>
      <c r="EE22" t="e">
        <f>AND('Application, couselor &amp; other'!M43,"AAAAAH/f+IY=")</f>
        <v>#VALUE!</v>
      </c>
      <c r="EF22" t="e">
        <f>AND('Application, couselor &amp; other'!N43,"AAAAAH/f+Ic=")</f>
        <v>#VALUE!</v>
      </c>
      <c r="EG22">
        <f>IF('Application, couselor &amp; other'!44:44,"AAAAAH/f+Ig=",0)</f>
        <v>0</v>
      </c>
      <c r="EH22" t="e">
        <f>AND('Application, couselor &amp; other'!A44,"AAAAAH/f+Ik=")</f>
        <v>#VALUE!</v>
      </c>
      <c r="EI22" t="e">
        <f>AND('Application, couselor &amp; other'!B44,"AAAAAH/f+Io=")</f>
        <v>#VALUE!</v>
      </c>
      <c r="EJ22" t="e">
        <f>AND('Application, couselor &amp; other'!C44,"AAAAAH/f+Is=")</f>
        <v>#VALUE!</v>
      </c>
      <c r="EK22" t="e">
        <f>AND('Application, couselor &amp; other'!D44,"AAAAAH/f+Iw=")</f>
        <v>#VALUE!</v>
      </c>
      <c r="EL22" t="e">
        <f>AND('Application, couselor &amp; other'!E44,"AAAAAH/f+I0=")</f>
        <v>#VALUE!</v>
      </c>
      <c r="EM22" t="e">
        <f>AND('Application, couselor &amp; other'!F44,"AAAAAH/f+I4=")</f>
        <v>#VALUE!</v>
      </c>
      <c r="EN22" t="e">
        <f>AND('Application, couselor &amp; other'!G44,"AAAAAH/f+I8=")</f>
        <v>#VALUE!</v>
      </c>
      <c r="EO22" t="e">
        <f>AND('Application, couselor &amp; other'!H44,"AAAAAH/f+JA=")</f>
        <v>#VALUE!</v>
      </c>
      <c r="EP22" t="e">
        <f>AND('Application, couselor &amp; other'!I44,"AAAAAH/f+JE=")</f>
        <v>#VALUE!</v>
      </c>
      <c r="EQ22" t="e">
        <f>AND('Application, couselor &amp; other'!J44,"AAAAAH/f+JI=")</f>
        <v>#VALUE!</v>
      </c>
      <c r="ER22" t="e">
        <f>AND('Application, couselor &amp; other'!K44,"AAAAAH/f+JM=")</f>
        <v>#VALUE!</v>
      </c>
      <c r="ES22" t="e">
        <f>AND('Application, couselor &amp; other'!L44,"AAAAAH/f+JQ=")</f>
        <v>#VALUE!</v>
      </c>
      <c r="ET22" t="e">
        <f>AND('Application, couselor &amp; other'!M44,"AAAAAH/f+JU=")</f>
        <v>#VALUE!</v>
      </c>
      <c r="EU22" t="e">
        <f>AND('Application, couselor &amp; other'!N44,"AAAAAH/f+JY=")</f>
        <v>#VALUE!</v>
      </c>
      <c r="EV22">
        <f>IF('Application, couselor &amp; other'!45:45,"AAAAAH/f+Jc=",0)</f>
        <v>0</v>
      </c>
      <c r="EW22" t="e">
        <f>AND('Application, couselor &amp; other'!A45,"AAAAAH/f+Jg=")</f>
        <v>#VALUE!</v>
      </c>
      <c r="EX22" t="e">
        <f>AND('Application, couselor &amp; other'!B45,"AAAAAH/f+Jk=")</f>
        <v>#VALUE!</v>
      </c>
      <c r="EY22" t="e">
        <f>AND('Application, couselor &amp; other'!C45,"AAAAAH/f+Jo=")</f>
        <v>#VALUE!</v>
      </c>
      <c r="EZ22" t="e">
        <f>AND('Application, couselor &amp; other'!D45,"AAAAAH/f+Js=")</f>
        <v>#VALUE!</v>
      </c>
      <c r="FA22" t="e">
        <f>AND('Application, couselor &amp; other'!E45,"AAAAAH/f+Jw=")</f>
        <v>#VALUE!</v>
      </c>
      <c r="FB22" t="e">
        <f>AND('Application, couselor &amp; other'!F45,"AAAAAH/f+J0=")</f>
        <v>#VALUE!</v>
      </c>
      <c r="FC22" t="e">
        <f>AND('Application, couselor &amp; other'!G45,"AAAAAH/f+J4=")</f>
        <v>#VALUE!</v>
      </c>
      <c r="FD22" t="e">
        <f>AND('Application, couselor &amp; other'!H45,"AAAAAH/f+J8=")</f>
        <v>#VALUE!</v>
      </c>
      <c r="FE22" t="e">
        <f>AND('Application, couselor &amp; other'!I45,"AAAAAH/f+KA=")</f>
        <v>#VALUE!</v>
      </c>
      <c r="FF22" t="e">
        <f>AND('Application, couselor &amp; other'!J45,"AAAAAH/f+KE=")</f>
        <v>#VALUE!</v>
      </c>
      <c r="FG22" t="e">
        <f>AND('Application, couselor &amp; other'!K45,"AAAAAH/f+KI=")</f>
        <v>#VALUE!</v>
      </c>
      <c r="FH22" t="e">
        <f>AND('Application, couselor &amp; other'!L45,"AAAAAH/f+KM=")</f>
        <v>#VALUE!</v>
      </c>
      <c r="FI22" t="e">
        <f>AND('Application, couselor &amp; other'!M45,"AAAAAH/f+KQ=")</f>
        <v>#VALUE!</v>
      </c>
      <c r="FJ22" t="e">
        <f>AND('Application, couselor &amp; other'!N45,"AAAAAH/f+KU=")</f>
        <v>#VALUE!</v>
      </c>
      <c r="FK22">
        <f>IF('Application, couselor &amp; other'!46:46,"AAAAAH/f+KY=",0)</f>
        <v>0</v>
      </c>
      <c r="FL22" t="e">
        <f>AND('Application, couselor &amp; other'!A46,"AAAAAH/f+Kc=")</f>
        <v>#VALUE!</v>
      </c>
      <c r="FM22" t="e">
        <f>AND('Application, couselor &amp; other'!B46,"AAAAAH/f+Kg=")</f>
        <v>#VALUE!</v>
      </c>
      <c r="FN22" t="e">
        <f>AND('Application, couselor &amp; other'!C46,"AAAAAH/f+Kk=")</f>
        <v>#VALUE!</v>
      </c>
      <c r="FO22" t="e">
        <f>AND('Application, couselor &amp; other'!D46,"AAAAAH/f+Ko=")</f>
        <v>#VALUE!</v>
      </c>
      <c r="FP22" t="e">
        <f>AND('Application, couselor &amp; other'!E46,"AAAAAH/f+Ks=")</f>
        <v>#VALUE!</v>
      </c>
      <c r="FQ22" t="e">
        <f>AND('Application, couselor &amp; other'!F46,"AAAAAH/f+Kw=")</f>
        <v>#VALUE!</v>
      </c>
      <c r="FR22" t="e">
        <f>AND('Application, couselor &amp; other'!G46,"AAAAAH/f+K0=")</f>
        <v>#VALUE!</v>
      </c>
      <c r="FS22" t="e">
        <f>AND('Application, couselor &amp; other'!H46,"AAAAAH/f+K4=")</f>
        <v>#VALUE!</v>
      </c>
      <c r="FT22" t="e">
        <f>AND('Application, couselor &amp; other'!I46,"AAAAAH/f+K8=")</f>
        <v>#VALUE!</v>
      </c>
      <c r="FU22" t="e">
        <f>AND('Application, couselor &amp; other'!J46,"AAAAAH/f+LA=")</f>
        <v>#VALUE!</v>
      </c>
      <c r="FV22" t="e">
        <f>AND('Application, couselor &amp; other'!K46,"AAAAAH/f+LE=")</f>
        <v>#VALUE!</v>
      </c>
      <c r="FW22" t="e">
        <f>AND('Application, couselor &amp; other'!L46,"AAAAAH/f+LI=")</f>
        <v>#VALUE!</v>
      </c>
      <c r="FX22" t="e">
        <f>AND('Application, couselor &amp; other'!M46,"AAAAAH/f+LM=")</f>
        <v>#VALUE!</v>
      </c>
      <c r="FY22" t="e">
        <f>AND('Application, couselor &amp; other'!N46,"AAAAAH/f+LQ=")</f>
        <v>#VALUE!</v>
      </c>
      <c r="FZ22">
        <f>IF('Application, couselor &amp; other'!47:47,"AAAAAH/f+LU=",0)</f>
        <v>0</v>
      </c>
      <c r="GA22" t="e">
        <f>AND('Application, couselor &amp; other'!A47,"AAAAAH/f+LY=")</f>
        <v>#VALUE!</v>
      </c>
      <c r="GB22" t="e">
        <f>AND('Application, couselor &amp; other'!B47,"AAAAAH/f+Lc=")</f>
        <v>#VALUE!</v>
      </c>
      <c r="GC22" t="e">
        <f>AND('Application, couselor &amp; other'!C47,"AAAAAH/f+Lg=")</f>
        <v>#VALUE!</v>
      </c>
      <c r="GD22" t="e">
        <f>AND('Application, couselor &amp; other'!D47,"AAAAAH/f+Lk=")</f>
        <v>#VALUE!</v>
      </c>
      <c r="GE22" t="e">
        <f>AND('Application, couselor &amp; other'!E47,"AAAAAH/f+Lo=")</f>
        <v>#VALUE!</v>
      </c>
      <c r="GF22" t="e">
        <f>AND('Application, couselor &amp; other'!F47,"AAAAAH/f+Ls=")</f>
        <v>#VALUE!</v>
      </c>
      <c r="GG22" t="e">
        <f>AND('Application, couselor &amp; other'!G47,"AAAAAH/f+Lw=")</f>
        <v>#VALUE!</v>
      </c>
      <c r="GH22" t="e">
        <f>AND('Application, couselor &amp; other'!H47,"AAAAAH/f+L0=")</f>
        <v>#VALUE!</v>
      </c>
      <c r="GI22" t="e">
        <f>AND('Application, couselor &amp; other'!I47,"AAAAAH/f+L4=")</f>
        <v>#VALUE!</v>
      </c>
      <c r="GJ22" t="e">
        <f>AND('Application, couselor &amp; other'!J47,"AAAAAH/f+L8=")</f>
        <v>#VALUE!</v>
      </c>
      <c r="GK22" t="e">
        <f>AND('Application, couselor &amp; other'!K47,"AAAAAH/f+MA=")</f>
        <v>#VALUE!</v>
      </c>
      <c r="GL22" t="e">
        <f>AND('Application, couselor &amp; other'!L47,"AAAAAH/f+ME=")</f>
        <v>#VALUE!</v>
      </c>
      <c r="GM22" t="e">
        <f>AND('Application, couselor &amp; other'!M47,"AAAAAH/f+MI=")</f>
        <v>#VALUE!</v>
      </c>
      <c r="GN22" t="e">
        <f>AND('Application, couselor &amp; other'!N47,"AAAAAH/f+MM=")</f>
        <v>#VALUE!</v>
      </c>
      <c r="GO22">
        <f>IF('Application, couselor &amp; other'!48:48,"AAAAAH/f+MQ=",0)</f>
        <v>0</v>
      </c>
      <c r="GP22" t="e">
        <f>AND('Application, couselor &amp; other'!A48,"AAAAAH/f+MU=")</f>
        <v>#VALUE!</v>
      </c>
      <c r="GQ22" t="e">
        <f>AND('Application, couselor &amp; other'!B48,"AAAAAH/f+MY=")</f>
        <v>#VALUE!</v>
      </c>
      <c r="GR22" t="e">
        <f>AND('Application, couselor &amp; other'!C48,"AAAAAH/f+Mc=")</f>
        <v>#VALUE!</v>
      </c>
      <c r="GS22" t="e">
        <f>AND('Application, couselor &amp; other'!D48,"AAAAAH/f+Mg=")</f>
        <v>#VALUE!</v>
      </c>
      <c r="GT22" t="e">
        <f>AND('Application, couselor &amp; other'!E48,"AAAAAH/f+Mk=")</f>
        <v>#VALUE!</v>
      </c>
      <c r="GU22" t="e">
        <f>AND('Application, couselor &amp; other'!F48,"AAAAAH/f+Mo=")</f>
        <v>#VALUE!</v>
      </c>
      <c r="GV22" t="e">
        <f>AND('Application, couselor &amp; other'!G48,"AAAAAH/f+Ms=")</f>
        <v>#VALUE!</v>
      </c>
      <c r="GW22" t="e">
        <f>AND('Application, couselor &amp; other'!H48,"AAAAAH/f+Mw=")</f>
        <v>#VALUE!</v>
      </c>
      <c r="GX22" t="e">
        <f>AND('Application, couselor &amp; other'!I48,"AAAAAH/f+M0=")</f>
        <v>#VALUE!</v>
      </c>
      <c r="GY22" t="e">
        <f>AND('Application, couselor &amp; other'!J48,"AAAAAH/f+M4=")</f>
        <v>#VALUE!</v>
      </c>
      <c r="GZ22" t="e">
        <f>AND('Application, couselor &amp; other'!K48,"AAAAAH/f+M8=")</f>
        <v>#VALUE!</v>
      </c>
      <c r="HA22" t="e">
        <f>AND('Application, couselor &amp; other'!L48,"AAAAAH/f+NA=")</f>
        <v>#VALUE!</v>
      </c>
      <c r="HB22" t="e">
        <f>AND('Application, couselor &amp; other'!M48,"AAAAAH/f+NE=")</f>
        <v>#VALUE!</v>
      </c>
      <c r="HC22" t="e">
        <f>AND('Application, couselor &amp; other'!N48,"AAAAAH/f+NI=")</f>
        <v>#VALUE!</v>
      </c>
      <c r="HD22">
        <f>IF('Application, couselor &amp; other'!49:49,"AAAAAH/f+NM=",0)</f>
        <v>0</v>
      </c>
      <c r="HE22" t="e">
        <f>AND('Application, couselor &amp; other'!A49,"AAAAAH/f+NQ=")</f>
        <v>#VALUE!</v>
      </c>
      <c r="HF22" t="e">
        <f>AND('Application, couselor &amp; other'!B49,"AAAAAH/f+NU=")</f>
        <v>#VALUE!</v>
      </c>
      <c r="HG22" t="e">
        <f>AND('Application, couselor &amp; other'!C49,"AAAAAH/f+NY=")</f>
        <v>#VALUE!</v>
      </c>
      <c r="HH22" t="e">
        <f>AND('Application, couselor &amp; other'!D49,"AAAAAH/f+Nc=")</f>
        <v>#VALUE!</v>
      </c>
      <c r="HI22" t="e">
        <f>AND('Application, couselor &amp; other'!E49,"AAAAAH/f+Ng=")</f>
        <v>#VALUE!</v>
      </c>
      <c r="HJ22" t="e">
        <f>AND('Application, couselor &amp; other'!F49,"AAAAAH/f+Nk=")</f>
        <v>#VALUE!</v>
      </c>
      <c r="HK22" t="e">
        <f>AND('Application, couselor &amp; other'!G49,"AAAAAH/f+No=")</f>
        <v>#VALUE!</v>
      </c>
      <c r="HL22" t="e">
        <f>AND('Application, couselor &amp; other'!H49,"AAAAAH/f+Ns=")</f>
        <v>#VALUE!</v>
      </c>
      <c r="HM22" t="e">
        <f>AND('Application, couselor &amp; other'!I49,"AAAAAH/f+Nw=")</f>
        <v>#VALUE!</v>
      </c>
      <c r="HN22" t="e">
        <f>AND('Application, couselor &amp; other'!J49,"AAAAAH/f+N0=")</f>
        <v>#VALUE!</v>
      </c>
      <c r="HO22" t="e">
        <f>AND('Application, couselor &amp; other'!K49,"AAAAAH/f+N4=")</f>
        <v>#VALUE!</v>
      </c>
      <c r="HP22" t="e">
        <f>AND('Application, couselor &amp; other'!L49,"AAAAAH/f+N8=")</f>
        <v>#VALUE!</v>
      </c>
      <c r="HQ22" t="e">
        <f>AND('Application, couselor &amp; other'!M49,"AAAAAH/f+OA=")</f>
        <v>#VALUE!</v>
      </c>
      <c r="HR22" t="e">
        <f>AND('Application, couselor &amp; other'!N49,"AAAAAH/f+OE=")</f>
        <v>#VALUE!</v>
      </c>
      <c r="HS22">
        <f>IF('Application, couselor &amp; other'!50:50,"AAAAAH/f+OI=",0)</f>
        <v>0</v>
      </c>
      <c r="HT22" t="e">
        <f>AND('Application, couselor &amp; other'!A50,"AAAAAH/f+OM=")</f>
        <v>#VALUE!</v>
      </c>
      <c r="HU22" t="e">
        <f>AND('Application, couselor &amp; other'!B50,"AAAAAH/f+OQ=")</f>
        <v>#VALUE!</v>
      </c>
      <c r="HV22" t="e">
        <f>AND('Application, couselor &amp; other'!C50,"AAAAAH/f+OU=")</f>
        <v>#VALUE!</v>
      </c>
      <c r="HW22" t="e">
        <f>AND('Application, couselor &amp; other'!D50,"AAAAAH/f+OY=")</f>
        <v>#VALUE!</v>
      </c>
      <c r="HX22" t="e">
        <f>AND('Application, couselor &amp; other'!E50,"AAAAAH/f+Oc=")</f>
        <v>#VALUE!</v>
      </c>
      <c r="HY22" t="e">
        <f>AND('Application, couselor &amp; other'!F50,"AAAAAH/f+Og=")</f>
        <v>#VALUE!</v>
      </c>
      <c r="HZ22" t="e">
        <f>AND('Application, couselor &amp; other'!G50,"AAAAAH/f+Ok=")</f>
        <v>#VALUE!</v>
      </c>
      <c r="IA22" t="e">
        <f>AND('Application, couselor &amp; other'!H50,"AAAAAH/f+Oo=")</f>
        <v>#VALUE!</v>
      </c>
      <c r="IB22" t="e">
        <f>AND('Application, couselor &amp; other'!I50,"AAAAAH/f+Os=")</f>
        <v>#VALUE!</v>
      </c>
      <c r="IC22" t="e">
        <f>AND('Application, couselor &amp; other'!J50,"AAAAAH/f+Ow=")</f>
        <v>#VALUE!</v>
      </c>
      <c r="ID22" t="e">
        <f>AND('Application, couselor &amp; other'!K50,"AAAAAH/f+O0=")</f>
        <v>#VALUE!</v>
      </c>
      <c r="IE22" t="e">
        <f>AND('Application, couselor &amp; other'!L50,"AAAAAH/f+O4=")</f>
        <v>#VALUE!</v>
      </c>
      <c r="IF22" t="e">
        <f>AND('Application, couselor &amp; other'!M50,"AAAAAH/f+O8=")</f>
        <v>#VALUE!</v>
      </c>
      <c r="IG22" t="e">
        <f>AND('Application, couselor &amp; other'!N50,"AAAAAH/f+PA=")</f>
        <v>#VALUE!</v>
      </c>
      <c r="IH22">
        <f>IF('Application, couselor &amp; other'!51:51,"AAAAAH/f+PE=",0)</f>
        <v>0</v>
      </c>
      <c r="II22" t="e">
        <f>AND('Application, couselor &amp; other'!A51,"AAAAAH/f+PI=")</f>
        <v>#VALUE!</v>
      </c>
      <c r="IJ22" t="e">
        <f>AND('Application, couselor &amp; other'!B51,"AAAAAH/f+PM=")</f>
        <v>#VALUE!</v>
      </c>
      <c r="IK22" t="e">
        <f>AND('Application, couselor &amp; other'!C51,"AAAAAH/f+PQ=")</f>
        <v>#VALUE!</v>
      </c>
      <c r="IL22" t="e">
        <f>AND('Application, couselor &amp; other'!D51,"AAAAAH/f+PU=")</f>
        <v>#VALUE!</v>
      </c>
      <c r="IM22" t="e">
        <f>AND('Application, couselor &amp; other'!E51,"AAAAAH/f+PY=")</f>
        <v>#VALUE!</v>
      </c>
      <c r="IN22" t="e">
        <f>AND('Application, couselor &amp; other'!F51,"AAAAAH/f+Pc=")</f>
        <v>#VALUE!</v>
      </c>
      <c r="IO22" t="e">
        <f>AND('Application, couselor &amp; other'!G51,"AAAAAH/f+Pg=")</f>
        <v>#VALUE!</v>
      </c>
      <c r="IP22" t="e">
        <f>AND('Application, couselor &amp; other'!H51,"AAAAAH/f+Pk=")</f>
        <v>#VALUE!</v>
      </c>
      <c r="IQ22" t="e">
        <f>AND('Application, couselor &amp; other'!I51,"AAAAAH/f+Po=")</f>
        <v>#VALUE!</v>
      </c>
      <c r="IR22" t="e">
        <f>AND('Application, couselor &amp; other'!J51,"AAAAAH/f+Ps=")</f>
        <v>#VALUE!</v>
      </c>
      <c r="IS22" t="e">
        <f>AND('Application, couselor &amp; other'!K51,"AAAAAH/f+Pw=")</f>
        <v>#VALUE!</v>
      </c>
      <c r="IT22" t="e">
        <f>AND('Application, couselor &amp; other'!L51,"AAAAAH/f+P0=")</f>
        <v>#VALUE!</v>
      </c>
      <c r="IU22" t="e">
        <f>AND('Application, couselor &amp; other'!M51,"AAAAAH/f+P4=")</f>
        <v>#VALUE!</v>
      </c>
      <c r="IV22" t="e">
        <f>AND('Application, couselor &amp; other'!N51,"AAAAAH/f+P8=")</f>
        <v>#VALUE!</v>
      </c>
    </row>
    <row r="23" spans="1:256" ht="12.75">
      <c r="A23">
        <f>IF('Application, couselor &amp; other'!52:52,"AAAAAD/2vwA=",0)</f>
        <v>0</v>
      </c>
      <c r="B23" t="e">
        <f>AND('Application, couselor &amp; other'!A52,"AAAAAD/2vwE=")</f>
        <v>#VALUE!</v>
      </c>
      <c r="C23" t="e">
        <f>AND('Application, couselor &amp; other'!B52,"AAAAAD/2vwI=")</f>
        <v>#VALUE!</v>
      </c>
      <c r="D23" t="e">
        <f>AND('Application, couselor &amp; other'!C52,"AAAAAD/2vwM=")</f>
        <v>#VALUE!</v>
      </c>
      <c r="E23" t="e">
        <f>AND('Application, couselor &amp; other'!D52,"AAAAAD/2vwQ=")</f>
        <v>#VALUE!</v>
      </c>
      <c r="F23" t="e">
        <f>AND('Application, couselor &amp; other'!E52,"AAAAAD/2vwU=")</f>
        <v>#VALUE!</v>
      </c>
      <c r="G23" t="e">
        <f>AND('Application, couselor &amp; other'!F52,"AAAAAD/2vwY=")</f>
        <v>#VALUE!</v>
      </c>
      <c r="H23" t="e">
        <f>AND('Application, couselor &amp; other'!G52,"AAAAAD/2vwc=")</f>
        <v>#VALUE!</v>
      </c>
      <c r="I23" t="e">
        <f>AND('Application, couselor &amp; other'!H52,"AAAAAD/2vwg=")</f>
        <v>#VALUE!</v>
      </c>
      <c r="J23" t="e">
        <f>AND('Application, couselor &amp; other'!I52,"AAAAAD/2vwk=")</f>
        <v>#VALUE!</v>
      </c>
      <c r="K23" t="e">
        <f>AND('Application, couselor &amp; other'!J52,"AAAAAD/2vwo=")</f>
        <v>#VALUE!</v>
      </c>
      <c r="L23" t="e">
        <f>AND('Application, couselor &amp; other'!K52,"AAAAAD/2vws=")</f>
        <v>#VALUE!</v>
      </c>
      <c r="M23" t="e">
        <f>AND('Application, couselor &amp; other'!L52,"AAAAAD/2vww=")</f>
        <v>#VALUE!</v>
      </c>
      <c r="N23" t="e">
        <f>AND('Application, couselor &amp; other'!M52,"AAAAAD/2vw0=")</f>
        <v>#VALUE!</v>
      </c>
      <c r="O23" t="e">
        <f>AND('Application, couselor &amp; other'!N52,"AAAAAD/2vw4=")</f>
        <v>#VALUE!</v>
      </c>
      <c r="P23">
        <f>IF('Application, couselor &amp; other'!53:53,"AAAAAD/2vw8=",0)</f>
        <v>0</v>
      </c>
      <c r="Q23" t="e">
        <f>AND('Application, couselor &amp; other'!A53,"AAAAAD/2vxA=")</f>
        <v>#VALUE!</v>
      </c>
      <c r="R23" t="e">
        <f>AND('Application, couselor &amp; other'!B53,"AAAAAD/2vxE=")</f>
        <v>#VALUE!</v>
      </c>
      <c r="S23" t="e">
        <f>AND('Application, couselor &amp; other'!C53,"AAAAAD/2vxI=")</f>
        <v>#VALUE!</v>
      </c>
      <c r="T23" t="e">
        <f>AND('Application, couselor &amp; other'!D53,"AAAAAD/2vxM=")</f>
        <v>#VALUE!</v>
      </c>
      <c r="U23" t="e">
        <f>AND('Application, couselor &amp; other'!E53,"AAAAAD/2vxQ=")</f>
        <v>#VALUE!</v>
      </c>
      <c r="V23" t="e">
        <f>AND('Application, couselor &amp; other'!F53,"AAAAAD/2vxU=")</f>
        <v>#VALUE!</v>
      </c>
      <c r="W23" t="e">
        <f>AND('Application, couselor &amp; other'!G53,"AAAAAD/2vxY=")</f>
        <v>#VALUE!</v>
      </c>
      <c r="X23" t="e">
        <f>AND('Application, couselor &amp; other'!H53,"AAAAAD/2vxc=")</f>
        <v>#VALUE!</v>
      </c>
      <c r="Y23" t="e">
        <f>AND('Application, couselor &amp; other'!I53,"AAAAAD/2vxg=")</f>
        <v>#VALUE!</v>
      </c>
      <c r="Z23" t="e">
        <f>AND('Application, couselor &amp; other'!J53,"AAAAAD/2vxk=")</f>
        <v>#VALUE!</v>
      </c>
      <c r="AA23" t="e">
        <f>AND('Application, couselor &amp; other'!K53,"AAAAAD/2vxo=")</f>
        <v>#VALUE!</v>
      </c>
      <c r="AB23" t="e">
        <f>AND('Application, couselor &amp; other'!L53,"AAAAAD/2vxs=")</f>
        <v>#VALUE!</v>
      </c>
      <c r="AC23" t="e">
        <f>AND('Application, couselor &amp; other'!M53,"AAAAAD/2vxw=")</f>
        <v>#VALUE!</v>
      </c>
      <c r="AD23" t="e">
        <f>AND('Application, couselor &amp; other'!N53,"AAAAAD/2vx0=")</f>
        <v>#VALUE!</v>
      </c>
      <c r="AE23">
        <f>IF('Application, couselor &amp; other'!54:54,"AAAAAD/2vx4=",0)</f>
        <v>0</v>
      </c>
      <c r="AF23" t="e">
        <f>AND('Application, couselor &amp; other'!A54,"AAAAAD/2vx8=")</f>
        <v>#VALUE!</v>
      </c>
      <c r="AG23" t="e">
        <f>AND('Application, couselor &amp; other'!B54,"AAAAAD/2vyA=")</f>
        <v>#VALUE!</v>
      </c>
      <c r="AH23" t="e">
        <f>AND('Application, couselor &amp; other'!C54,"AAAAAD/2vyE=")</f>
        <v>#VALUE!</v>
      </c>
      <c r="AI23" t="e">
        <f>AND('Application, couselor &amp; other'!D54,"AAAAAD/2vyI=")</f>
        <v>#VALUE!</v>
      </c>
      <c r="AJ23" t="e">
        <f>AND('Application, couselor &amp; other'!E54,"AAAAAD/2vyM=")</f>
        <v>#VALUE!</v>
      </c>
      <c r="AK23" t="e">
        <f>AND('Application, couselor &amp; other'!F54,"AAAAAD/2vyQ=")</f>
        <v>#VALUE!</v>
      </c>
      <c r="AL23" t="e">
        <f>AND('Application, couselor &amp; other'!G54,"AAAAAD/2vyU=")</f>
        <v>#VALUE!</v>
      </c>
      <c r="AM23" t="e">
        <f>AND('Application, couselor &amp; other'!H54,"AAAAAD/2vyY=")</f>
        <v>#VALUE!</v>
      </c>
      <c r="AN23" t="e">
        <f>AND('Application, couselor &amp; other'!I54,"AAAAAD/2vyc=")</f>
        <v>#VALUE!</v>
      </c>
      <c r="AO23" t="e">
        <f>AND('Application, couselor &amp; other'!J54,"AAAAAD/2vyg=")</f>
        <v>#VALUE!</v>
      </c>
      <c r="AP23" t="e">
        <f>AND('Application, couselor &amp; other'!K54,"AAAAAD/2vyk=")</f>
        <v>#VALUE!</v>
      </c>
      <c r="AQ23" t="e">
        <f>AND('Application, couselor &amp; other'!L54,"AAAAAD/2vyo=")</f>
        <v>#VALUE!</v>
      </c>
      <c r="AR23" t="e">
        <f>AND('Application, couselor &amp; other'!M54,"AAAAAD/2vys=")</f>
        <v>#VALUE!</v>
      </c>
      <c r="AS23" t="e">
        <f>AND('Application, couselor &amp; other'!N54,"AAAAAD/2vyw=")</f>
        <v>#VALUE!</v>
      </c>
      <c r="AT23">
        <f>IF('Application, couselor &amp; other'!55:55,"AAAAAD/2vy0=",0)</f>
        <v>0</v>
      </c>
      <c r="AU23" t="e">
        <f>AND('Application, couselor &amp; other'!A55,"AAAAAD/2vy4=")</f>
        <v>#VALUE!</v>
      </c>
      <c r="AV23" t="e">
        <f>AND('Application, couselor &amp; other'!B55,"AAAAAD/2vy8=")</f>
        <v>#VALUE!</v>
      </c>
      <c r="AW23" t="e">
        <f>AND('Application, couselor &amp; other'!C55,"AAAAAD/2vzA=")</f>
        <v>#VALUE!</v>
      </c>
      <c r="AX23" t="e">
        <f>AND('Application, couselor &amp; other'!D55,"AAAAAD/2vzE=")</f>
        <v>#VALUE!</v>
      </c>
      <c r="AY23" t="e">
        <f>AND('Application, couselor &amp; other'!E55,"AAAAAD/2vzI=")</f>
        <v>#VALUE!</v>
      </c>
      <c r="AZ23" t="e">
        <f>AND('Application, couselor &amp; other'!F55,"AAAAAD/2vzM=")</f>
        <v>#VALUE!</v>
      </c>
      <c r="BA23" t="e">
        <f>AND('Application, couselor &amp; other'!G55,"AAAAAD/2vzQ=")</f>
        <v>#VALUE!</v>
      </c>
      <c r="BB23" t="e">
        <f>AND('Application, couselor &amp; other'!H55,"AAAAAD/2vzU=")</f>
        <v>#VALUE!</v>
      </c>
      <c r="BC23" t="e">
        <f>AND('Application, couselor &amp; other'!I55,"AAAAAD/2vzY=")</f>
        <v>#VALUE!</v>
      </c>
      <c r="BD23" t="e">
        <f>AND('Application, couselor &amp; other'!J55,"AAAAAD/2vzc=")</f>
        <v>#VALUE!</v>
      </c>
      <c r="BE23" t="e">
        <f>AND('Application, couselor &amp; other'!K55,"AAAAAD/2vzg=")</f>
        <v>#VALUE!</v>
      </c>
      <c r="BF23" t="e">
        <f>AND('Application, couselor &amp; other'!L55,"AAAAAD/2vzk=")</f>
        <v>#VALUE!</v>
      </c>
      <c r="BG23" t="e">
        <f>AND('Application, couselor &amp; other'!M55,"AAAAAD/2vzo=")</f>
        <v>#VALUE!</v>
      </c>
      <c r="BH23" t="e">
        <f>AND('Application, couselor &amp; other'!N55,"AAAAAD/2vzs=")</f>
        <v>#VALUE!</v>
      </c>
      <c r="BI23">
        <f>IF('Application, couselor &amp; other'!56:56,"AAAAAD/2vzw=",0)</f>
        <v>0</v>
      </c>
      <c r="BJ23" t="e">
        <f>AND('Application, couselor &amp; other'!A56,"AAAAAD/2vz0=")</f>
        <v>#VALUE!</v>
      </c>
      <c r="BK23" t="e">
        <f>AND('Application, couselor &amp; other'!B56,"AAAAAD/2vz4=")</f>
        <v>#VALUE!</v>
      </c>
      <c r="BL23" t="e">
        <f>AND('Application, couselor &amp; other'!C56,"AAAAAD/2vz8=")</f>
        <v>#VALUE!</v>
      </c>
      <c r="BM23" t="e">
        <f>AND('Application, couselor &amp; other'!D56,"AAAAAD/2v0A=")</f>
        <v>#VALUE!</v>
      </c>
      <c r="BN23" t="e">
        <f>AND('Application, couselor &amp; other'!E56,"AAAAAD/2v0E=")</f>
        <v>#VALUE!</v>
      </c>
      <c r="BO23" t="e">
        <f>AND('Application, couselor &amp; other'!F56,"AAAAAD/2v0I=")</f>
        <v>#VALUE!</v>
      </c>
      <c r="BP23" t="e">
        <f>AND('Application, couselor &amp; other'!G56,"AAAAAD/2v0M=")</f>
        <v>#VALUE!</v>
      </c>
      <c r="BQ23" t="e">
        <f>AND('Application, couselor &amp; other'!H56,"AAAAAD/2v0Q=")</f>
        <v>#VALUE!</v>
      </c>
      <c r="BR23" t="e">
        <f>AND('Application, couselor &amp; other'!I56,"AAAAAD/2v0U=")</f>
        <v>#VALUE!</v>
      </c>
      <c r="BS23" t="e">
        <f>AND('Application, couselor &amp; other'!J56,"AAAAAD/2v0Y=")</f>
        <v>#VALUE!</v>
      </c>
      <c r="BT23" t="e">
        <f>AND('Application, couselor &amp; other'!K56,"AAAAAD/2v0c=")</f>
        <v>#VALUE!</v>
      </c>
      <c r="BU23" t="e">
        <f>AND('Application, couselor &amp; other'!L56,"AAAAAD/2v0g=")</f>
        <v>#VALUE!</v>
      </c>
      <c r="BV23" t="e">
        <f>AND('Application, couselor &amp; other'!M56,"AAAAAD/2v0k=")</f>
        <v>#VALUE!</v>
      </c>
      <c r="BW23" t="e">
        <f>AND('Application, couselor &amp; other'!N56,"AAAAAD/2v0o=")</f>
        <v>#VALUE!</v>
      </c>
      <c r="BX23">
        <f>IF('Application, couselor &amp; other'!57:57,"AAAAAD/2v0s=",0)</f>
        <v>0</v>
      </c>
      <c r="BY23" t="e">
        <f>AND('Application, couselor &amp; other'!A57,"AAAAAD/2v0w=")</f>
        <v>#VALUE!</v>
      </c>
      <c r="BZ23" t="e">
        <f>AND('Application, couselor &amp; other'!B57,"AAAAAD/2v00=")</f>
        <v>#VALUE!</v>
      </c>
      <c r="CA23" t="e">
        <f>AND('Application, couselor &amp; other'!C57,"AAAAAD/2v04=")</f>
        <v>#VALUE!</v>
      </c>
      <c r="CB23" t="e">
        <f>AND('Application, couselor &amp; other'!D57,"AAAAAD/2v08=")</f>
        <v>#VALUE!</v>
      </c>
      <c r="CC23" t="e">
        <f>AND('Application, couselor &amp; other'!E57,"AAAAAD/2v1A=")</f>
        <v>#VALUE!</v>
      </c>
      <c r="CD23" t="e">
        <f>AND('Application, couselor &amp; other'!F57,"AAAAAD/2v1E=")</f>
        <v>#VALUE!</v>
      </c>
      <c r="CE23" t="e">
        <f>AND('Application, couselor &amp; other'!G57,"AAAAAD/2v1I=")</f>
        <v>#VALUE!</v>
      </c>
      <c r="CF23" t="e">
        <f>AND('Application, couselor &amp; other'!H57,"AAAAAD/2v1M=")</f>
        <v>#VALUE!</v>
      </c>
      <c r="CG23" t="e">
        <f>AND('Application, couselor &amp; other'!I57,"AAAAAD/2v1Q=")</f>
        <v>#VALUE!</v>
      </c>
      <c r="CH23" t="e">
        <f>AND('Application, couselor &amp; other'!J57,"AAAAAD/2v1U=")</f>
        <v>#VALUE!</v>
      </c>
      <c r="CI23" t="e">
        <f>AND('Application, couselor &amp; other'!K57,"AAAAAD/2v1Y=")</f>
        <v>#VALUE!</v>
      </c>
      <c r="CJ23" t="e">
        <f>AND('Application, couselor &amp; other'!L57,"AAAAAD/2v1c=")</f>
        <v>#VALUE!</v>
      </c>
      <c r="CK23" t="e">
        <f>AND('Application, couselor &amp; other'!M57,"AAAAAD/2v1g=")</f>
        <v>#VALUE!</v>
      </c>
      <c r="CL23" t="e">
        <f>AND('Application, couselor &amp; other'!N57,"AAAAAD/2v1k=")</f>
        <v>#VALUE!</v>
      </c>
      <c r="CM23">
        <f>IF('Application, couselor &amp; other'!58:58,"AAAAAD/2v1o=",0)</f>
        <v>0</v>
      </c>
      <c r="CN23" t="e">
        <f>AND('Application, couselor &amp; other'!A58,"AAAAAD/2v1s=")</f>
        <v>#VALUE!</v>
      </c>
      <c r="CO23" t="e">
        <f>AND('Application, couselor &amp; other'!B58,"AAAAAD/2v1w=")</f>
        <v>#VALUE!</v>
      </c>
      <c r="CP23" t="e">
        <f>AND('Application, couselor &amp; other'!C58,"AAAAAD/2v10=")</f>
        <v>#VALUE!</v>
      </c>
      <c r="CQ23" t="e">
        <f>AND('Application, couselor &amp; other'!D58,"AAAAAD/2v14=")</f>
        <v>#VALUE!</v>
      </c>
      <c r="CR23" t="e">
        <f>AND('Application, couselor &amp; other'!E58,"AAAAAD/2v18=")</f>
        <v>#VALUE!</v>
      </c>
      <c r="CS23" t="e">
        <f>AND('Application, couselor &amp; other'!F58,"AAAAAD/2v2A=")</f>
        <v>#VALUE!</v>
      </c>
      <c r="CT23" t="e">
        <f>AND('Application, couselor &amp; other'!G58,"AAAAAD/2v2E=")</f>
        <v>#VALUE!</v>
      </c>
      <c r="CU23" t="e">
        <f>AND('Application, couselor &amp; other'!H58,"AAAAAD/2v2I=")</f>
        <v>#VALUE!</v>
      </c>
      <c r="CV23" t="e">
        <f>AND('Application, couselor &amp; other'!I58,"AAAAAD/2v2M=")</f>
        <v>#VALUE!</v>
      </c>
      <c r="CW23" t="e">
        <f>AND('Application, couselor &amp; other'!J58,"AAAAAD/2v2Q=")</f>
        <v>#VALUE!</v>
      </c>
      <c r="CX23" t="e">
        <f>AND('Application, couselor &amp; other'!K58,"AAAAAD/2v2U=")</f>
        <v>#VALUE!</v>
      </c>
      <c r="CY23" t="e">
        <f>AND('Application, couselor &amp; other'!L58,"AAAAAD/2v2Y=")</f>
        <v>#VALUE!</v>
      </c>
      <c r="CZ23" t="e">
        <f>AND('Application, couselor &amp; other'!M58,"AAAAAD/2v2c=")</f>
        <v>#VALUE!</v>
      </c>
      <c r="DA23" t="e">
        <f>AND('Application, couselor &amp; other'!N58,"AAAAAD/2v2g=")</f>
        <v>#VALUE!</v>
      </c>
      <c r="DB23">
        <f>IF('Application, couselor &amp; other'!59:59,"AAAAAD/2v2k=",0)</f>
        <v>0</v>
      </c>
      <c r="DC23" t="e">
        <f>AND('Application, couselor &amp; other'!A59,"AAAAAD/2v2o=")</f>
        <v>#VALUE!</v>
      </c>
      <c r="DD23" t="e">
        <f>AND('Application, couselor &amp; other'!B59,"AAAAAD/2v2s=")</f>
        <v>#VALUE!</v>
      </c>
      <c r="DE23" t="e">
        <f>AND('Application, couselor &amp; other'!C59,"AAAAAD/2v2w=")</f>
        <v>#VALUE!</v>
      </c>
      <c r="DF23" t="e">
        <f>AND('Application, couselor &amp; other'!D59,"AAAAAD/2v20=")</f>
        <v>#VALUE!</v>
      </c>
      <c r="DG23" t="e">
        <f>AND('Application, couselor &amp; other'!E59,"AAAAAD/2v24=")</f>
        <v>#VALUE!</v>
      </c>
      <c r="DH23" t="e">
        <f>AND('Application, couselor &amp; other'!F59,"AAAAAD/2v28=")</f>
        <v>#VALUE!</v>
      </c>
      <c r="DI23" t="e">
        <f>AND('Application, couselor &amp; other'!G59,"AAAAAD/2v3A=")</f>
        <v>#VALUE!</v>
      </c>
      <c r="DJ23" t="e">
        <f>AND('Application, couselor &amp; other'!H59,"AAAAAD/2v3E=")</f>
        <v>#VALUE!</v>
      </c>
      <c r="DK23" t="e">
        <f>AND('Application, couselor &amp; other'!I59,"AAAAAD/2v3I=")</f>
        <v>#VALUE!</v>
      </c>
      <c r="DL23" t="e">
        <f>AND('Application, couselor &amp; other'!J59,"AAAAAD/2v3M=")</f>
        <v>#VALUE!</v>
      </c>
      <c r="DM23" t="e">
        <f>AND('Application, couselor &amp; other'!K59,"AAAAAD/2v3Q=")</f>
        <v>#VALUE!</v>
      </c>
      <c r="DN23" t="e">
        <f>AND('Application, couselor &amp; other'!L59,"AAAAAD/2v3U=")</f>
        <v>#VALUE!</v>
      </c>
      <c r="DO23" t="e">
        <f>AND('Application, couselor &amp; other'!M59,"AAAAAD/2v3Y=")</f>
        <v>#VALUE!</v>
      </c>
      <c r="DP23" t="e">
        <f>AND('Application, couselor &amp; other'!N59,"AAAAAD/2v3c=")</f>
        <v>#VALUE!</v>
      </c>
      <c r="DQ23">
        <f>IF('Application, couselor &amp; other'!60:60,"AAAAAD/2v3g=",0)</f>
        <v>0</v>
      </c>
      <c r="DR23" t="e">
        <f>AND('Application, couselor &amp; other'!A60,"AAAAAD/2v3k=")</f>
        <v>#VALUE!</v>
      </c>
      <c r="DS23" t="e">
        <f>AND('Application, couselor &amp; other'!B60,"AAAAAD/2v3o=")</f>
        <v>#VALUE!</v>
      </c>
      <c r="DT23" t="e">
        <f>AND('Application, couselor &amp; other'!C60,"AAAAAD/2v3s=")</f>
        <v>#VALUE!</v>
      </c>
      <c r="DU23" t="e">
        <f>AND('Application, couselor &amp; other'!D60,"AAAAAD/2v3w=")</f>
        <v>#VALUE!</v>
      </c>
      <c r="DV23" t="e">
        <f>AND('Application, couselor &amp; other'!E60,"AAAAAD/2v30=")</f>
        <v>#VALUE!</v>
      </c>
      <c r="DW23" t="e">
        <f>AND('Application, couselor &amp; other'!F60,"AAAAAD/2v34=")</f>
        <v>#VALUE!</v>
      </c>
      <c r="DX23" t="e">
        <f>AND('Application, couselor &amp; other'!G60,"AAAAAD/2v38=")</f>
        <v>#VALUE!</v>
      </c>
      <c r="DY23" t="e">
        <f>AND('Application, couselor &amp; other'!H60,"AAAAAD/2v4A=")</f>
        <v>#VALUE!</v>
      </c>
      <c r="DZ23" t="e">
        <f>AND('Application, couselor &amp; other'!I60,"AAAAAD/2v4E=")</f>
        <v>#VALUE!</v>
      </c>
      <c r="EA23" t="e">
        <f>AND('Application, couselor &amp; other'!J60,"AAAAAD/2v4I=")</f>
        <v>#VALUE!</v>
      </c>
      <c r="EB23" t="e">
        <f>AND('Application, couselor &amp; other'!K60,"AAAAAD/2v4M=")</f>
        <v>#VALUE!</v>
      </c>
      <c r="EC23" t="e">
        <f>AND('Application, couselor &amp; other'!L60,"AAAAAD/2v4Q=")</f>
        <v>#VALUE!</v>
      </c>
      <c r="ED23" t="e">
        <f>AND('Application, couselor &amp; other'!M60,"AAAAAD/2v4U=")</f>
        <v>#VALUE!</v>
      </c>
      <c r="EE23" t="e">
        <f>AND('Application, couselor &amp; other'!N60,"AAAAAD/2v4Y=")</f>
        <v>#VALUE!</v>
      </c>
      <c r="EF23">
        <f>IF('Application, couselor &amp; other'!61:61,"AAAAAD/2v4c=",0)</f>
        <v>0</v>
      </c>
      <c r="EG23" t="e">
        <f>AND('Application, couselor &amp; other'!A61,"AAAAAD/2v4g=")</f>
        <v>#VALUE!</v>
      </c>
      <c r="EH23" t="e">
        <f>AND('Application, couselor &amp; other'!B61,"AAAAAD/2v4k=")</f>
        <v>#VALUE!</v>
      </c>
      <c r="EI23" t="e">
        <f>AND('Application, couselor &amp; other'!C61,"AAAAAD/2v4o=")</f>
        <v>#VALUE!</v>
      </c>
      <c r="EJ23" t="e">
        <f>AND('Application, couselor &amp; other'!D61,"AAAAAD/2v4s=")</f>
        <v>#VALUE!</v>
      </c>
      <c r="EK23" t="e">
        <f>AND('Application, couselor &amp; other'!E61,"AAAAAD/2v4w=")</f>
        <v>#VALUE!</v>
      </c>
      <c r="EL23" t="e">
        <f>AND('Application, couselor &amp; other'!F61,"AAAAAD/2v40=")</f>
        <v>#VALUE!</v>
      </c>
      <c r="EM23" t="e">
        <f>AND('Application, couselor &amp; other'!G61,"AAAAAD/2v44=")</f>
        <v>#VALUE!</v>
      </c>
      <c r="EN23" t="e">
        <f>AND('Application, couselor &amp; other'!H61,"AAAAAD/2v48=")</f>
        <v>#VALUE!</v>
      </c>
      <c r="EO23" t="e">
        <f>AND('Application, couselor &amp; other'!I61,"AAAAAD/2v5A=")</f>
        <v>#VALUE!</v>
      </c>
      <c r="EP23" t="e">
        <f>AND('Application, couselor &amp; other'!J61,"AAAAAD/2v5E=")</f>
        <v>#VALUE!</v>
      </c>
      <c r="EQ23" t="e">
        <f>AND('Application, couselor &amp; other'!K61,"AAAAAD/2v5I=")</f>
        <v>#VALUE!</v>
      </c>
      <c r="ER23" t="e">
        <f>AND('Application, couselor &amp; other'!L61,"AAAAAD/2v5M=")</f>
        <v>#VALUE!</v>
      </c>
      <c r="ES23" t="e">
        <f>AND('Application, couselor &amp; other'!M61,"AAAAAD/2v5Q=")</f>
        <v>#VALUE!</v>
      </c>
      <c r="ET23" t="e">
        <f>AND('Application, couselor &amp; other'!N61,"AAAAAD/2v5U=")</f>
        <v>#VALUE!</v>
      </c>
      <c r="EU23">
        <f>IF('Application, couselor &amp; other'!62:62,"AAAAAD/2v5Y=",0)</f>
        <v>0</v>
      </c>
      <c r="EV23" t="e">
        <f>AND('Application, couselor &amp; other'!A62,"AAAAAD/2v5c=")</f>
        <v>#VALUE!</v>
      </c>
      <c r="EW23" t="e">
        <f>AND('Application, couselor &amp; other'!B62,"AAAAAD/2v5g=")</f>
        <v>#VALUE!</v>
      </c>
      <c r="EX23" t="e">
        <f>AND('Application, couselor &amp; other'!C62,"AAAAAD/2v5k=")</f>
        <v>#VALUE!</v>
      </c>
      <c r="EY23" t="e">
        <f>AND('Application, couselor &amp; other'!D62,"AAAAAD/2v5o=")</f>
        <v>#VALUE!</v>
      </c>
      <c r="EZ23" t="e">
        <f>AND('Application, couselor &amp; other'!E62,"AAAAAD/2v5s=")</f>
        <v>#VALUE!</v>
      </c>
      <c r="FA23" t="e">
        <f>AND('Application, couselor &amp; other'!F62,"AAAAAD/2v5w=")</f>
        <v>#VALUE!</v>
      </c>
      <c r="FB23" t="e">
        <f>AND('Application, couselor &amp; other'!G62,"AAAAAD/2v50=")</f>
        <v>#VALUE!</v>
      </c>
      <c r="FC23" t="e">
        <f>AND('Application, couselor &amp; other'!H62,"AAAAAD/2v54=")</f>
        <v>#VALUE!</v>
      </c>
      <c r="FD23" t="e">
        <f>AND('Application, couselor &amp; other'!I62,"AAAAAD/2v58=")</f>
        <v>#VALUE!</v>
      </c>
      <c r="FE23" t="e">
        <f>AND('Application, couselor &amp; other'!J62,"AAAAAD/2v6A=")</f>
        <v>#VALUE!</v>
      </c>
      <c r="FF23" t="e">
        <f>AND('Application, couselor &amp; other'!K62,"AAAAAD/2v6E=")</f>
        <v>#VALUE!</v>
      </c>
      <c r="FG23" t="e">
        <f>AND('Application, couselor &amp; other'!L62,"AAAAAD/2v6I=")</f>
        <v>#VALUE!</v>
      </c>
      <c r="FH23" t="e">
        <f>AND('Application, couselor &amp; other'!M62,"AAAAAD/2v6M=")</f>
        <v>#VALUE!</v>
      </c>
      <c r="FI23" t="e">
        <f>AND('Application, couselor &amp; other'!N62,"AAAAAD/2v6Q=")</f>
        <v>#VALUE!</v>
      </c>
      <c r="FJ23">
        <f>IF('Application, couselor &amp; other'!63:63,"AAAAAD/2v6U=",0)</f>
        <v>0</v>
      </c>
      <c r="FK23" t="e">
        <f>AND('Application, couselor &amp; other'!A63,"AAAAAD/2v6Y=")</f>
        <v>#VALUE!</v>
      </c>
      <c r="FL23" t="e">
        <f>AND('Application, couselor &amp; other'!B63,"AAAAAD/2v6c=")</f>
        <v>#VALUE!</v>
      </c>
      <c r="FM23" t="e">
        <f>AND('Application, couselor &amp; other'!C63,"AAAAAD/2v6g=")</f>
        <v>#VALUE!</v>
      </c>
      <c r="FN23" t="e">
        <f>AND('Application, couselor &amp; other'!D63,"AAAAAD/2v6k=")</f>
        <v>#VALUE!</v>
      </c>
      <c r="FO23" t="e">
        <f>AND('Application, couselor &amp; other'!E63,"AAAAAD/2v6o=")</f>
        <v>#VALUE!</v>
      </c>
      <c r="FP23" t="e">
        <f>AND('Application, couselor &amp; other'!F63,"AAAAAD/2v6s=")</f>
        <v>#VALUE!</v>
      </c>
      <c r="FQ23" t="e">
        <f>AND('Application, couselor &amp; other'!G63,"AAAAAD/2v6w=")</f>
        <v>#VALUE!</v>
      </c>
      <c r="FR23" t="e">
        <f>AND('Application, couselor &amp; other'!H63,"AAAAAD/2v60=")</f>
        <v>#VALUE!</v>
      </c>
      <c r="FS23" t="e">
        <f>AND('Application, couselor &amp; other'!I63,"AAAAAD/2v64=")</f>
        <v>#VALUE!</v>
      </c>
      <c r="FT23" t="e">
        <f>AND('Application, couselor &amp; other'!J63,"AAAAAD/2v68=")</f>
        <v>#VALUE!</v>
      </c>
      <c r="FU23" t="e">
        <f>AND('Application, couselor &amp; other'!K63,"AAAAAD/2v7A=")</f>
        <v>#VALUE!</v>
      </c>
      <c r="FV23" t="e">
        <f>AND('Application, couselor &amp; other'!L63,"AAAAAD/2v7E=")</f>
        <v>#VALUE!</v>
      </c>
      <c r="FW23" t="e">
        <f>AND('Application, couselor &amp; other'!M63,"AAAAAD/2v7I=")</f>
        <v>#VALUE!</v>
      </c>
      <c r="FX23" t="e">
        <f>AND('Application, couselor &amp; other'!N63,"AAAAAD/2v7M=")</f>
        <v>#VALUE!</v>
      </c>
      <c r="FY23">
        <f>IF('Application, couselor &amp; other'!64:64,"AAAAAD/2v7Q=",0)</f>
        <v>0</v>
      </c>
      <c r="FZ23" t="e">
        <f>AND('Application, couselor &amp; other'!A64,"AAAAAD/2v7U=")</f>
        <v>#VALUE!</v>
      </c>
      <c r="GA23" t="e">
        <f>AND('Application, couselor &amp; other'!B64,"AAAAAD/2v7Y=")</f>
        <v>#VALUE!</v>
      </c>
      <c r="GB23" t="e">
        <f>AND('Application, couselor &amp; other'!C64,"AAAAAD/2v7c=")</f>
        <v>#VALUE!</v>
      </c>
      <c r="GC23" t="e">
        <f>AND('Application, couselor &amp; other'!D64,"AAAAAD/2v7g=")</f>
        <v>#VALUE!</v>
      </c>
      <c r="GD23" t="e">
        <f>AND('Application, couselor &amp; other'!E64,"AAAAAD/2v7k=")</f>
        <v>#VALUE!</v>
      </c>
      <c r="GE23" t="e">
        <f>AND('Application, couselor &amp; other'!F64,"AAAAAD/2v7o=")</f>
        <v>#VALUE!</v>
      </c>
      <c r="GF23" t="e">
        <f>AND('Application, couselor &amp; other'!G64,"AAAAAD/2v7s=")</f>
        <v>#VALUE!</v>
      </c>
      <c r="GG23" t="e">
        <f>AND('Application, couselor &amp; other'!H64,"AAAAAD/2v7w=")</f>
        <v>#VALUE!</v>
      </c>
      <c r="GH23" t="e">
        <f>AND('Application, couselor &amp; other'!I64,"AAAAAD/2v70=")</f>
        <v>#VALUE!</v>
      </c>
      <c r="GI23" t="e">
        <f>AND('Application, couselor &amp; other'!J64,"AAAAAD/2v74=")</f>
        <v>#VALUE!</v>
      </c>
      <c r="GJ23" t="e">
        <f>AND('Application, couselor &amp; other'!K64,"AAAAAD/2v78=")</f>
        <v>#VALUE!</v>
      </c>
      <c r="GK23" t="e">
        <f>AND('Application, couselor &amp; other'!L64,"AAAAAD/2v8A=")</f>
        <v>#VALUE!</v>
      </c>
      <c r="GL23" t="e">
        <f>AND('Application, couselor &amp; other'!M64,"AAAAAD/2v8E=")</f>
        <v>#VALUE!</v>
      </c>
      <c r="GM23" t="e">
        <f>AND('Application, couselor &amp; other'!N64,"AAAAAD/2v8I=")</f>
        <v>#VALUE!</v>
      </c>
      <c r="GN23">
        <f>IF('Application, couselor &amp; other'!65:65,"AAAAAD/2v8M=",0)</f>
        <v>0</v>
      </c>
      <c r="GO23" t="e">
        <f>AND('Application, couselor &amp; other'!A65,"AAAAAD/2v8Q=")</f>
        <v>#VALUE!</v>
      </c>
      <c r="GP23" t="e">
        <f>AND('Application, couselor &amp; other'!B65,"AAAAAD/2v8U=")</f>
        <v>#VALUE!</v>
      </c>
      <c r="GQ23" t="e">
        <f>AND('Application, couselor &amp; other'!C65,"AAAAAD/2v8Y=")</f>
        <v>#VALUE!</v>
      </c>
      <c r="GR23" t="e">
        <f>AND('Application, couselor &amp; other'!D65,"AAAAAD/2v8c=")</f>
        <v>#VALUE!</v>
      </c>
      <c r="GS23" t="e">
        <f>AND('Application, couselor &amp; other'!E65,"AAAAAD/2v8g=")</f>
        <v>#VALUE!</v>
      </c>
      <c r="GT23" t="e">
        <f>AND('Application, couselor &amp; other'!F65,"AAAAAD/2v8k=")</f>
        <v>#VALUE!</v>
      </c>
      <c r="GU23" t="e">
        <f>AND('Application, couselor &amp; other'!G65,"AAAAAD/2v8o=")</f>
        <v>#VALUE!</v>
      </c>
      <c r="GV23" t="e">
        <f>AND('Application, couselor &amp; other'!H65,"AAAAAD/2v8s=")</f>
        <v>#VALUE!</v>
      </c>
      <c r="GW23" t="e">
        <f>AND('Application, couselor &amp; other'!I65,"AAAAAD/2v8w=")</f>
        <v>#VALUE!</v>
      </c>
      <c r="GX23" t="e">
        <f>AND('Application, couselor &amp; other'!J65,"AAAAAD/2v80=")</f>
        <v>#VALUE!</v>
      </c>
      <c r="GY23" t="e">
        <f>AND('Application, couselor &amp; other'!K65,"AAAAAD/2v84=")</f>
        <v>#VALUE!</v>
      </c>
      <c r="GZ23" t="e">
        <f>AND('Application, couselor &amp; other'!L65,"AAAAAD/2v88=")</f>
        <v>#VALUE!</v>
      </c>
      <c r="HA23" t="e">
        <f>AND('Application, couselor &amp; other'!M65,"AAAAAD/2v9A=")</f>
        <v>#VALUE!</v>
      </c>
      <c r="HB23" t="e">
        <f>AND('Application, couselor &amp; other'!N65,"AAAAAD/2v9E=")</f>
        <v>#VALUE!</v>
      </c>
      <c r="HC23">
        <f>IF('Application, couselor &amp; other'!66:66,"AAAAAD/2v9I=",0)</f>
        <v>0</v>
      </c>
      <c r="HD23" t="e">
        <f>AND('Application, couselor &amp; other'!A66,"AAAAAD/2v9M=")</f>
        <v>#VALUE!</v>
      </c>
      <c r="HE23" t="e">
        <f>AND('Application, couselor &amp; other'!B66,"AAAAAD/2v9Q=")</f>
        <v>#VALUE!</v>
      </c>
      <c r="HF23" t="e">
        <f>AND('Application, couselor &amp; other'!C66,"AAAAAD/2v9U=")</f>
        <v>#VALUE!</v>
      </c>
      <c r="HG23" t="e">
        <f>AND('Application, couselor &amp; other'!D66,"AAAAAD/2v9Y=")</f>
        <v>#VALUE!</v>
      </c>
      <c r="HH23" t="e">
        <f>AND('Application, couselor &amp; other'!E66,"AAAAAD/2v9c=")</f>
        <v>#VALUE!</v>
      </c>
      <c r="HI23" t="e">
        <f>AND('Application, couselor &amp; other'!F66,"AAAAAD/2v9g=")</f>
        <v>#VALUE!</v>
      </c>
      <c r="HJ23" t="e">
        <f>AND('Application, couselor &amp; other'!G66,"AAAAAD/2v9k=")</f>
        <v>#VALUE!</v>
      </c>
      <c r="HK23" t="e">
        <f>AND('Application, couselor &amp; other'!H66,"AAAAAD/2v9o=")</f>
        <v>#VALUE!</v>
      </c>
      <c r="HL23" t="e">
        <f>AND('Application, couselor &amp; other'!I66,"AAAAAD/2v9s=")</f>
        <v>#VALUE!</v>
      </c>
      <c r="HM23" t="e">
        <f>AND('Application, couselor &amp; other'!J66,"AAAAAD/2v9w=")</f>
        <v>#VALUE!</v>
      </c>
      <c r="HN23" t="e">
        <f>AND('Application, couselor &amp; other'!K66,"AAAAAD/2v90=")</f>
        <v>#VALUE!</v>
      </c>
      <c r="HO23" t="e">
        <f>AND('Application, couselor &amp; other'!L66,"AAAAAD/2v94=")</f>
        <v>#VALUE!</v>
      </c>
      <c r="HP23" t="e">
        <f>AND('Application, couselor &amp; other'!M66,"AAAAAD/2v98=")</f>
        <v>#VALUE!</v>
      </c>
      <c r="HQ23" t="e">
        <f>AND('Application, couselor &amp; other'!N66,"AAAAAD/2v+A=")</f>
        <v>#VALUE!</v>
      </c>
      <c r="HR23">
        <f>IF('Application, couselor &amp; other'!67:67,"AAAAAD/2v+E=",0)</f>
        <v>0</v>
      </c>
      <c r="HS23" t="e">
        <f>AND('Application, couselor &amp; other'!A67,"AAAAAD/2v+I=")</f>
        <v>#VALUE!</v>
      </c>
      <c r="HT23" t="e">
        <f>AND('Application, couselor &amp; other'!B67,"AAAAAD/2v+M=")</f>
        <v>#VALUE!</v>
      </c>
      <c r="HU23" t="e">
        <f>AND('Application, couselor &amp; other'!C67,"AAAAAD/2v+Q=")</f>
        <v>#VALUE!</v>
      </c>
      <c r="HV23" t="e">
        <f>AND('Application, couselor &amp; other'!D67,"AAAAAD/2v+U=")</f>
        <v>#VALUE!</v>
      </c>
      <c r="HW23" t="e">
        <f>AND('Application, couselor &amp; other'!E67,"AAAAAD/2v+Y=")</f>
        <v>#VALUE!</v>
      </c>
      <c r="HX23" t="e">
        <f>AND('Application, couselor &amp; other'!F67,"AAAAAD/2v+c=")</f>
        <v>#VALUE!</v>
      </c>
      <c r="HY23" t="e">
        <f>AND('Application, couselor &amp; other'!G67,"AAAAAD/2v+g=")</f>
        <v>#VALUE!</v>
      </c>
      <c r="HZ23" t="e">
        <f>AND('Application, couselor &amp; other'!H67,"AAAAAD/2v+k=")</f>
        <v>#VALUE!</v>
      </c>
      <c r="IA23" t="e">
        <f>AND('Application, couselor &amp; other'!I67,"AAAAAD/2v+o=")</f>
        <v>#VALUE!</v>
      </c>
      <c r="IB23" t="e">
        <f>AND('Application, couselor &amp; other'!J67,"AAAAAD/2v+s=")</f>
        <v>#VALUE!</v>
      </c>
      <c r="IC23" t="e">
        <f>AND('Application, couselor &amp; other'!K67,"AAAAAD/2v+w=")</f>
        <v>#VALUE!</v>
      </c>
      <c r="ID23" t="e">
        <f>AND('Application, couselor &amp; other'!L67,"AAAAAD/2v+0=")</f>
        <v>#VALUE!</v>
      </c>
      <c r="IE23" t="e">
        <f>AND('Application, couselor &amp; other'!M67,"AAAAAD/2v+4=")</f>
        <v>#VALUE!</v>
      </c>
      <c r="IF23" t="e">
        <f>AND('Application, couselor &amp; other'!N67,"AAAAAD/2v+8=")</f>
        <v>#VALUE!</v>
      </c>
      <c r="IG23">
        <f>IF('Application, couselor &amp; other'!68:68,"AAAAAD/2v/A=",0)</f>
        <v>0</v>
      </c>
      <c r="IH23" t="e">
        <f>AND('Application, couselor &amp; other'!A68,"AAAAAD/2v/E=")</f>
        <v>#VALUE!</v>
      </c>
      <c r="II23" t="e">
        <f>AND('Application, couselor &amp; other'!B68,"AAAAAD/2v/I=")</f>
        <v>#VALUE!</v>
      </c>
      <c r="IJ23" t="e">
        <f>AND('Application, couselor &amp; other'!C68,"AAAAAD/2v/M=")</f>
        <v>#VALUE!</v>
      </c>
      <c r="IK23" t="e">
        <f>AND('Application, couselor &amp; other'!D68,"AAAAAD/2v/Q=")</f>
        <v>#VALUE!</v>
      </c>
      <c r="IL23" t="e">
        <f>AND('Application, couselor &amp; other'!E68,"AAAAAD/2v/U=")</f>
        <v>#VALUE!</v>
      </c>
      <c r="IM23" t="e">
        <f>AND('Application, couselor &amp; other'!F68,"AAAAAD/2v/Y=")</f>
        <v>#VALUE!</v>
      </c>
      <c r="IN23" t="e">
        <f>AND('Application, couselor &amp; other'!G68,"AAAAAD/2v/c=")</f>
        <v>#VALUE!</v>
      </c>
      <c r="IO23" t="e">
        <f>AND('Application, couselor &amp; other'!H68,"AAAAAD/2v/g=")</f>
        <v>#VALUE!</v>
      </c>
      <c r="IP23" t="e">
        <f>AND('Application, couselor &amp; other'!I68,"AAAAAD/2v/k=")</f>
        <v>#VALUE!</v>
      </c>
      <c r="IQ23" t="e">
        <f>AND('Application, couselor &amp; other'!J68,"AAAAAD/2v/o=")</f>
        <v>#VALUE!</v>
      </c>
      <c r="IR23" t="e">
        <f>AND('Application, couselor &amp; other'!K68,"AAAAAD/2v/s=")</f>
        <v>#VALUE!</v>
      </c>
      <c r="IS23" t="e">
        <f>AND('Application, couselor &amp; other'!L68,"AAAAAD/2v/w=")</f>
        <v>#VALUE!</v>
      </c>
      <c r="IT23" t="e">
        <f>AND('Application, couselor &amp; other'!M68,"AAAAAD/2v/0=")</f>
        <v>#VALUE!</v>
      </c>
      <c r="IU23" t="e">
        <f>AND('Application, couselor &amp; other'!N68,"AAAAAD/2v/4=")</f>
        <v>#VALUE!</v>
      </c>
      <c r="IV23">
        <f>IF('Application, couselor &amp; other'!69:69,"AAAAAD/2v/8=",0)</f>
        <v>0</v>
      </c>
    </row>
    <row r="24" spans="1:256" ht="12.75">
      <c r="A24" t="e">
        <f>AND('Application, couselor &amp; other'!A69,"AAAAADqn/wA=")</f>
        <v>#VALUE!</v>
      </c>
      <c r="B24" t="e">
        <f>AND('Application, couselor &amp; other'!B69,"AAAAADqn/wE=")</f>
        <v>#VALUE!</v>
      </c>
      <c r="C24" t="e">
        <f>AND('Application, couselor &amp; other'!C69,"AAAAADqn/wI=")</f>
        <v>#VALUE!</v>
      </c>
      <c r="D24" t="e">
        <f>AND('Application, couselor &amp; other'!D69,"AAAAADqn/wM=")</f>
        <v>#VALUE!</v>
      </c>
      <c r="E24" t="e">
        <f>AND('Application, couselor &amp; other'!E69,"AAAAADqn/wQ=")</f>
        <v>#VALUE!</v>
      </c>
      <c r="F24" t="e">
        <f>AND('Application, couselor &amp; other'!F69,"AAAAADqn/wU=")</f>
        <v>#VALUE!</v>
      </c>
      <c r="G24" t="e">
        <f>AND('Application, couselor &amp; other'!G69,"AAAAADqn/wY=")</f>
        <v>#VALUE!</v>
      </c>
      <c r="H24" t="e">
        <f>AND('Application, couselor &amp; other'!H69,"AAAAADqn/wc=")</f>
        <v>#VALUE!</v>
      </c>
      <c r="I24" t="e">
        <f>AND('Application, couselor &amp; other'!I69,"AAAAADqn/wg=")</f>
        <v>#VALUE!</v>
      </c>
      <c r="J24" t="e">
        <f>AND('Application, couselor &amp; other'!J69,"AAAAADqn/wk=")</f>
        <v>#VALUE!</v>
      </c>
      <c r="K24" t="e">
        <f>AND('Application, couselor &amp; other'!K69,"AAAAADqn/wo=")</f>
        <v>#VALUE!</v>
      </c>
      <c r="L24" t="e">
        <f>AND('Application, couselor &amp; other'!L69,"AAAAADqn/ws=")</f>
        <v>#VALUE!</v>
      </c>
      <c r="M24" t="e">
        <f>AND('Application, couselor &amp; other'!M69,"AAAAADqn/ww=")</f>
        <v>#VALUE!</v>
      </c>
      <c r="N24" t="e">
        <f>AND('Application, couselor &amp; other'!N69,"AAAAADqn/w0=")</f>
        <v>#VALUE!</v>
      </c>
      <c r="O24">
        <f>IF('Application, couselor &amp; other'!70:70,"AAAAADqn/w4=",0)</f>
        <v>0</v>
      </c>
      <c r="P24" t="e">
        <f>AND('Application, couselor &amp; other'!A70,"AAAAADqn/w8=")</f>
        <v>#VALUE!</v>
      </c>
      <c r="Q24" t="e">
        <f>AND('Application, couselor &amp; other'!B70,"AAAAADqn/xA=")</f>
        <v>#VALUE!</v>
      </c>
      <c r="R24" t="e">
        <f>AND('Application, couselor &amp; other'!C70,"AAAAADqn/xE=")</f>
        <v>#VALUE!</v>
      </c>
      <c r="S24" t="e">
        <f>AND('Application, couselor &amp; other'!D70,"AAAAADqn/xI=")</f>
        <v>#VALUE!</v>
      </c>
      <c r="T24" t="e">
        <f>AND('Application, couselor &amp; other'!E70,"AAAAADqn/xM=")</f>
        <v>#VALUE!</v>
      </c>
      <c r="U24" t="e">
        <f>AND('Application, couselor &amp; other'!F70,"AAAAADqn/xQ=")</f>
        <v>#VALUE!</v>
      </c>
      <c r="V24" t="e">
        <f>AND('Application, couselor &amp; other'!G70,"AAAAADqn/xU=")</f>
        <v>#VALUE!</v>
      </c>
      <c r="W24" t="e">
        <f>AND('Application, couselor &amp; other'!H70,"AAAAADqn/xY=")</f>
        <v>#VALUE!</v>
      </c>
      <c r="X24" t="e">
        <f>AND('Application, couselor &amp; other'!I70,"AAAAADqn/xc=")</f>
        <v>#VALUE!</v>
      </c>
      <c r="Y24" t="e">
        <f>AND('Application, couselor &amp; other'!J70,"AAAAADqn/xg=")</f>
        <v>#VALUE!</v>
      </c>
      <c r="Z24" t="e">
        <f>AND('Application, couselor &amp; other'!K70,"AAAAADqn/xk=")</f>
        <v>#VALUE!</v>
      </c>
      <c r="AA24" t="e">
        <f>AND('Application, couselor &amp; other'!L70,"AAAAADqn/xo=")</f>
        <v>#VALUE!</v>
      </c>
      <c r="AB24" t="e">
        <f>AND('Application, couselor &amp; other'!M70,"AAAAADqn/xs=")</f>
        <v>#VALUE!</v>
      </c>
      <c r="AC24" t="e">
        <f>AND('Application, couselor &amp; other'!N70,"AAAAADqn/xw=")</f>
        <v>#VALUE!</v>
      </c>
      <c r="AD24">
        <f>IF('Application, couselor &amp; other'!71:71,"AAAAADqn/x0=",0)</f>
        <v>0</v>
      </c>
      <c r="AE24" t="e">
        <f>AND('Application, couselor &amp; other'!A71,"AAAAADqn/x4=")</f>
        <v>#VALUE!</v>
      </c>
      <c r="AF24" t="e">
        <f>AND('Application, couselor &amp; other'!B71,"AAAAADqn/x8=")</f>
        <v>#VALUE!</v>
      </c>
      <c r="AG24" t="e">
        <f>AND('Application, couselor &amp; other'!C71,"AAAAADqn/yA=")</f>
        <v>#VALUE!</v>
      </c>
      <c r="AH24" t="e">
        <f>AND('Application, couselor &amp; other'!D71,"AAAAADqn/yE=")</f>
        <v>#VALUE!</v>
      </c>
      <c r="AI24" t="e">
        <f>AND('Application, couselor &amp; other'!E71,"AAAAADqn/yI=")</f>
        <v>#VALUE!</v>
      </c>
      <c r="AJ24" t="e">
        <f>AND('Application, couselor &amp; other'!F71,"AAAAADqn/yM=")</f>
        <v>#VALUE!</v>
      </c>
      <c r="AK24" t="e">
        <f>AND('Application, couselor &amp; other'!G71,"AAAAADqn/yQ=")</f>
        <v>#VALUE!</v>
      </c>
      <c r="AL24" t="e">
        <f>AND('Application, couselor &amp; other'!H71,"AAAAADqn/yU=")</f>
        <v>#VALUE!</v>
      </c>
      <c r="AM24" t="e">
        <f>AND('Application, couselor &amp; other'!I71,"AAAAADqn/yY=")</f>
        <v>#VALUE!</v>
      </c>
      <c r="AN24" t="e">
        <f>AND('Application, couselor &amp; other'!J71,"AAAAADqn/yc=")</f>
        <v>#VALUE!</v>
      </c>
      <c r="AO24" t="e">
        <f>AND('Application, couselor &amp; other'!K71,"AAAAADqn/yg=")</f>
        <v>#VALUE!</v>
      </c>
      <c r="AP24" t="e">
        <f>AND('Application, couselor &amp; other'!L71,"AAAAADqn/yk=")</f>
        <v>#VALUE!</v>
      </c>
      <c r="AQ24" t="e">
        <f>AND('Application, couselor &amp; other'!M71,"AAAAADqn/yo=")</f>
        <v>#VALUE!</v>
      </c>
      <c r="AR24" t="e">
        <f>AND('Application, couselor &amp; other'!N71,"AAAAADqn/ys=")</f>
        <v>#VALUE!</v>
      </c>
      <c r="AS24">
        <f>IF('Application, couselor &amp; other'!72:72,"AAAAADqn/yw=",0)</f>
        <v>0</v>
      </c>
      <c r="AT24" t="e">
        <f>AND('Application, couselor &amp; other'!A72,"AAAAADqn/y0=")</f>
        <v>#VALUE!</v>
      </c>
      <c r="AU24" t="e">
        <f>AND('Application, couselor &amp; other'!B72,"AAAAADqn/y4=")</f>
        <v>#VALUE!</v>
      </c>
      <c r="AV24" t="e">
        <f>AND('Application, couselor &amp; other'!C72,"AAAAADqn/y8=")</f>
        <v>#VALUE!</v>
      </c>
      <c r="AW24" t="e">
        <f>AND('Application, couselor &amp; other'!D72,"AAAAADqn/zA=")</f>
        <v>#VALUE!</v>
      </c>
      <c r="AX24" t="e">
        <f>AND('Application, couselor &amp; other'!E72,"AAAAADqn/zE=")</f>
        <v>#VALUE!</v>
      </c>
      <c r="AY24" t="e">
        <f>AND('Application, couselor &amp; other'!F72,"AAAAADqn/zI=")</f>
        <v>#VALUE!</v>
      </c>
      <c r="AZ24" t="e">
        <f>AND('Application, couselor &amp; other'!G72,"AAAAADqn/zM=")</f>
        <v>#VALUE!</v>
      </c>
      <c r="BA24" t="e">
        <f>AND('Application, couselor &amp; other'!H72,"AAAAADqn/zQ=")</f>
        <v>#VALUE!</v>
      </c>
      <c r="BB24" t="e">
        <f>AND('Application, couselor &amp; other'!I72,"AAAAADqn/zU=")</f>
        <v>#VALUE!</v>
      </c>
      <c r="BC24" t="e">
        <f>AND('Application, couselor &amp; other'!J72,"AAAAADqn/zY=")</f>
        <v>#VALUE!</v>
      </c>
      <c r="BD24" t="e">
        <f>AND('Application, couselor &amp; other'!K72,"AAAAADqn/zc=")</f>
        <v>#VALUE!</v>
      </c>
      <c r="BE24" t="e">
        <f>AND('Application, couselor &amp; other'!L72,"AAAAADqn/zg=")</f>
        <v>#VALUE!</v>
      </c>
      <c r="BF24" t="e">
        <f>AND('Application, couselor &amp; other'!M72,"AAAAADqn/zk=")</f>
        <v>#VALUE!</v>
      </c>
      <c r="BG24" t="e">
        <f>AND('Application, couselor &amp; other'!N72,"AAAAADqn/zo=")</f>
        <v>#VALUE!</v>
      </c>
      <c r="BH24">
        <f>IF('Application, couselor &amp; other'!73:73,"AAAAADqn/zs=",0)</f>
        <v>0</v>
      </c>
      <c r="BI24" t="e">
        <f>AND('Application, couselor &amp; other'!A73,"AAAAADqn/zw=")</f>
        <v>#VALUE!</v>
      </c>
      <c r="BJ24" t="e">
        <f>AND('Application, couselor &amp; other'!B73,"AAAAADqn/z0=")</f>
        <v>#VALUE!</v>
      </c>
      <c r="BK24" t="e">
        <f>AND('Application, couselor &amp; other'!C73,"AAAAADqn/z4=")</f>
        <v>#VALUE!</v>
      </c>
      <c r="BL24" t="e">
        <f>AND('Application, couselor &amp; other'!D73,"AAAAADqn/z8=")</f>
        <v>#VALUE!</v>
      </c>
      <c r="BM24" t="e">
        <f>AND('Application, couselor &amp; other'!E73,"AAAAADqn/0A=")</f>
        <v>#VALUE!</v>
      </c>
      <c r="BN24" t="e">
        <f>AND('Application, couselor &amp; other'!F73,"AAAAADqn/0E=")</f>
        <v>#VALUE!</v>
      </c>
      <c r="BO24" t="e">
        <f>AND('Application, couselor &amp; other'!G73,"AAAAADqn/0I=")</f>
        <v>#VALUE!</v>
      </c>
      <c r="BP24" t="e">
        <f>AND('Application, couselor &amp; other'!H73,"AAAAADqn/0M=")</f>
        <v>#VALUE!</v>
      </c>
      <c r="BQ24" t="e">
        <f>AND('Application, couselor &amp; other'!I73,"AAAAADqn/0Q=")</f>
        <v>#VALUE!</v>
      </c>
      <c r="BR24" t="e">
        <f>AND('Application, couselor &amp; other'!J73,"AAAAADqn/0U=")</f>
        <v>#VALUE!</v>
      </c>
      <c r="BS24" t="e">
        <f>AND('Application, couselor &amp; other'!K73,"AAAAADqn/0Y=")</f>
        <v>#VALUE!</v>
      </c>
      <c r="BT24" t="e">
        <f>AND('Application, couselor &amp; other'!L73,"AAAAADqn/0c=")</f>
        <v>#VALUE!</v>
      </c>
      <c r="BU24" t="e">
        <f>AND('Application, couselor &amp; other'!M73,"AAAAADqn/0g=")</f>
        <v>#VALUE!</v>
      </c>
      <c r="BV24" t="e">
        <f>AND('Application, couselor &amp; other'!N73,"AAAAADqn/0k=")</f>
        <v>#VALUE!</v>
      </c>
      <c r="BW24">
        <f>IF('Application, couselor &amp; other'!74:74,"AAAAADqn/0o=",0)</f>
        <v>0</v>
      </c>
      <c r="BX24" t="e">
        <f>AND('Application, couselor &amp; other'!A74,"AAAAADqn/0s=")</f>
        <v>#VALUE!</v>
      </c>
      <c r="BY24" t="e">
        <f>AND('Application, couselor &amp; other'!B74,"AAAAADqn/0w=")</f>
        <v>#VALUE!</v>
      </c>
      <c r="BZ24" t="e">
        <f>AND('Application, couselor &amp; other'!C74,"AAAAADqn/00=")</f>
        <v>#VALUE!</v>
      </c>
      <c r="CA24" t="e">
        <f>AND('Application, couselor &amp; other'!D74,"AAAAADqn/04=")</f>
        <v>#VALUE!</v>
      </c>
      <c r="CB24" t="e">
        <f>AND('Application, couselor &amp; other'!E74,"AAAAADqn/08=")</f>
        <v>#VALUE!</v>
      </c>
      <c r="CC24" t="e">
        <f>AND('Application, couselor &amp; other'!F74,"AAAAADqn/1A=")</f>
        <v>#VALUE!</v>
      </c>
      <c r="CD24" t="e">
        <f>AND('Application, couselor &amp; other'!G74,"AAAAADqn/1E=")</f>
        <v>#VALUE!</v>
      </c>
      <c r="CE24" t="e">
        <f>AND('Application, couselor &amp; other'!H74,"AAAAADqn/1I=")</f>
        <v>#VALUE!</v>
      </c>
      <c r="CF24" t="e">
        <f>AND('Application, couselor &amp; other'!I74,"AAAAADqn/1M=")</f>
        <v>#VALUE!</v>
      </c>
      <c r="CG24" t="e">
        <f>AND('Application, couselor &amp; other'!J74,"AAAAADqn/1Q=")</f>
        <v>#VALUE!</v>
      </c>
      <c r="CH24" t="e">
        <f>AND('Application, couselor &amp; other'!K74,"AAAAADqn/1U=")</f>
        <v>#VALUE!</v>
      </c>
      <c r="CI24" t="e">
        <f>AND('Application, couselor &amp; other'!L74,"AAAAADqn/1Y=")</f>
        <v>#VALUE!</v>
      </c>
      <c r="CJ24" t="e">
        <f>AND('Application, couselor &amp; other'!M74,"AAAAADqn/1c=")</f>
        <v>#VALUE!</v>
      </c>
      <c r="CK24" t="e">
        <f>AND('Application, couselor &amp; other'!N74,"AAAAADqn/1g=")</f>
        <v>#VALUE!</v>
      </c>
      <c r="CL24">
        <f>IF('Application, couselor &amp; other'!75:75,"AAAAADqn/1k=",0)</f>
        <v>0</v>
      </c>
      <c r="CM24" t="e">
        <f>AND('Application, couselor &amp; other'!A75,"AAAAADqn/1o=")</f>
        <v>#VALUE!</v>
      </c>
      <c r="CN24" t="e">
        <f>AND('Application, couselor &amp; other'!B75,"AAAAADqn/1s=")</f>
        <v>#VALUE!</v>
      </c>
      <c r="CO24" t="e">
        <f>AND('Application, couselor &amp; other'!C75,"AAAAADqn/1w=")</f>
        <v>#VALUE!</v>
      </c>
      <c r="CP24" t="e">
        <f>AND('Application, couselor &amp; other'!D75,"AAAAADqn/10=")</f>
        <v>#VALUE!</v>
      </c>
      <c r="CQ24" t="e">
        <f>AND('Application, couselor &amp; other'!E75,"AAAAADqn/14=")</f>
        <v>#VALUE!</v>
      </c>
      <c r="CR24" t="e">
        <f>AND('Application, couselor &amp; other'!F75,"AAAAADqn/18=")</f>
        <v>#VALUE!</v>
      </c>
      <c r="CS24" t="e">
        <f>AND('Application, couselor &amp; other'!G75,"AAAAADqn/2A=")</f>
        <v>#VALUE!</v>
      </c>
      <c r="CT24" t="e">
        <f>AND('Application, couselor &amp; other'!H75,"AAAAADqn/2E=")</f>
        <v>#VALUE!</v>
      </c>
      <c r="CU24" t="e">
        <f>AND('Application, couselor &amp; other'!I75,"AAAAADqn/2I=")</f>
        <v>#VALUE!</v>
      </c>
      <c r="CV24" t="e">
        <f>AND('Application, couselor &amp; other'!J75,"AAAAADqn/2M=")</f>
        <v>#VALUE!</v>
      </c>
      <c r="CW24" t="e">
        <f>AND('Application, couselor &amp; other'!K75,"AAAAADqn/2Q=")</f>
        <v>#VALUE!</v>
      </c>
      <c r="CX24" t="e">
        <f>AND('Application, couselor &amp; other'!L75,"AAAAADqn/2U=")</f>
        <v>#VALUE!</v>
      </c>
      <c r="CY24" t="e">
        <f>AND('Application, couselor &amp; other'!M75,"AAAAADqn/2Y=")</f>
        <v>#VALUE!</v>
      </c>
      <c r="CZ24" t="e">
        <f>AND('Application, couselor &amp; other'!N75,"AAAAADqn/2c=")</f>
        <v>#VALUE!</v>
      </c>
      <c r="DA24">
        <f>IF('Application, couselor &amp; other'!76:76,"AAAAADqn/2g=",0)</f>
        <v>0</v>
      </c>
      <c r="DB24" t="e">
        <f>AND('Application, couselor &amp; other'!A76,"AAAAADqn/2k=")</f>
        <v>#VALUE!</v>
      </c>
      <c r="DC24" t="e">
        <f>AND('Application, couselor &amp; other'!B76,"AAAAADqn/2o=")</f>
        <v>#VALUE!</v>
      </c>
      <c r="DD24" t="e">
        <f>AND('Application, couselor &amp; other'!C76,"AAAAADqn/2s=")</f>
        <v>#VALUE!</v>
      </c>
      <c r="DE24" t="e">
        <f>AND('Application, couselor &amp; other'!D76,"AAAAADqn/2w=")</f>
        <v>#VALUE!</v>
      </c>
      <c r="DF24" t="e">
        <f>AND('Application, couselor &amp; other'!E76,"AAAAADqn/20=")</f>
        <v>#VALUE!</v>
      </c>
      <c r="DG24" t="e">
        <f>AND('Application, couselor &amp; other'!F76,"AAAAADqn/24=")</f>
        <v>#VALUE!</v>
      </c>
      <c r="DH24" t="e">
        <f>AND('Application, couselor &amp; other'!G76,"AAAAADqn/28=")</f>
        <v>#VALUE!</v>
      </c>
      <c r="DI24" t="e">
        <f>AND('Application, couselor &amp; other'!H76,"AAAAADqn/3A=")</f>
        <v>#VALUE!</v>
      </c>
      <c r="DJ24" t="e">
        <f>AND('Application, couselor &amp; other'!I76,"AAAAADqn/3E=")</f>
        <v>#VALUE!</v>
      </c>
      <c r="DK24" t="e">
        <f>AND('Application, couselor &amp; other'!J76,"AAAAADqn/3I=")</f>
        <v>#VALUE!</v>
      </c>
      <c r="DL24" t="e">
        <f>AND('Application, couselor &amp; other'!K76,"AAAAADqn/3M=")</f>
        <v>#VALUE!</v>
      </c>
      <c r="DM24" t="e">
        <f>AND('Application, couselor &amp; other'!L76,"AAAAADqn/3Q=")</f>
        <v>#VALUE!</v>
      </c>
      <c r="DN24" t="e">
        <f>AND('Application, couselor &amp; other'!M76,"AAAAADqn/3U=")</f>
        <v>#VALUE!</v>
      </c>
      <c r="DO24" t="e">
        <f>AND('Application, couselor &amp; other'!N76,"AAAAADqn/3Y=")</f>
        <v>#VALUE!</v>
      </c>
      <c r="DP24">
        <f>IF('Application, couselor &amp; other'!77:77,"AAAAADqn/3c=",0)</f>
        <v>0</v>
      </c>
      <c r="DQ24" t="e">
        <f>AND('Application, couselor &amp; other'!A77,"AAAAADqn/3g=")</f>
        <v>#VALUE!</v>
      </c>
      <c r="DR24" t="e">
        <f>AND('Application, couselor &amp; other'!B77,"AAAAADqn/3k=")</f>
        <v>#VALUE!</v>
      </c>
      <c r="DS24" t="e">
        <f>AND('Application, couselor &amp; other'!C77,"AAAAADqn/3o=")</f>
        <v>#VALUE!</v>
      </c>
      <c r="DT24" t="e">
        <f>AND('Application, couselor &amp; other'!D77,"AAAAADqn/3s=")</f>
        <v>#VALUE!</v>
      </c>
      <c r="DU24" t="e">
        <f>AND('Application, couselor &amp; other'!E77,"AAAAADqn/3w=")</f>
        <v>#VALUE!</v>
      </c>
      <c r="DV24" t="e">
        <f>AND('Application, couselor &amp; other'!F77,"AAAAADqn/30=")</f>
        <v>#VALUE!</v>
      </c>
      <c r="DW24" t="e">
        <f>AND('Application, couselor &amp; other'!G77,"AAAAADqn/34=")</f>
        <v>#VALUE!</v>
      </c>
      <c r="DX24" t="e">
        <f>AND('Application, couselor &amp; other'!H77,"AAAAADqn/38=")</f>
        <v>#VALUE!</v>
      </c>
      <c r="DY24" t="e">
        <f>AND('Application, couselor &amp; other'!I77,"AAAAADqn/4A=")</f>
        <v>#VALUE!</v>
      </c>
      <c r="DZ24" t="e">
        <f>AND('Application, couselor &amp; other'!J77,"AAAAADqn/4E=")</f>
        <v>#VALUE!</v>
      </c>
      <c r="EA24" t="e">
        <f>AND('Application, couselor &amp; other'!K77,"AAAAADqn/4I=")</f>
        <v>#VALUE!</v>
      </c>
      <c r="EB24" t="e">
        <f>AND('Application, couselor &amp; other'!L77,"AAAAADqn/4M=")</f>
        <v>#VALUE!</v>
      </c>
      <c r="EC24" t="e">
        <f>AND('Application, couselor &amp; other'!M77,"AAAAADqn/4Q=")</f>
        <v>#VALUE!</v>
      </c>
      <c r="ED24" t="e">
        <f>AND('Application, couselor &amp; other'!N77,"AAAAADqn/4U=")</f>
        <v>#VALUE!</v>
      </c>
      <c r="EE24">
        <f>IF('Application, couselor &amp; other'!78:78,"AAAAADqn/4Y=",0)</f>
        <v>0</v>
      </c>
      <c r="EF24" t="e">
        <f>AND('Application, couselor &amp; other'!A78,"AAAAADqn/4c=")</f>
        <v>#VALUE!</v>
      </c>
      <c r="EG24" t="e">
        <f>AND('Application, couselor &amp; other'!B78,"AAAAADqn/4g=")</f>
        <v>#VALUE!</v>
      </c>
      <c r="EH24" t="e">
        <f>AND('Application, couselor &amp; other'!C78,"AAAAADqn/4k=")</f>
        <v>#VALUE!</v>
      </c>
      <c r="EI24" t="e">
        <f>AND('Application, couselor &amp; other'!D78,"AAAAADqn/4o=")</f>
        <v>#VALUE!</v>
      </c>
      <c r="EJ24" t="e">
        <f>AND('Application, couselor &amp; other'!E78,"AAAAADqn/4s=")</f>
        <v>#VALUE!</v>
      </c>
      <c r="EK24" t="e">
        <f>AND('Application, couselor &amp; other'!F78,"AAAAADqn/4w=")</f>
        <v>#VALUE!</v>
      </c>
      <c r="EL24" t="e">
        <f>AND('Application, couselor &amp; other'!G78,"AAAAADqn/40=")</f>
        <v>#VALUE!</v>
      </c>
      <c r="EM24" t="e">
        <f>AND('Application, couselor &amp; other'!H78,"AAAAADqn/44=")</f>
        <v>#VALUE!</v>
      </c>
      <c r="EN24" t="e">
        <f>AND('Application, couselor &amp; other'!I78,"AAAAADqn/48=")</f>
        <v>#VALUE!</v>
      </c>
      <c r="EO24" t="e">
        <f>AND('Application, couselor &amp; other'!J78,"AAAAADqn/5A=")</f>
        <v>#VALUE!</v>
      </c>
      <c r="EP24" t="e">
        <f>AND('Application, couselor &amp; other'!K78,"AAAAADqn/5E=")</f>
        <v>#VALUE!</v>
      </c>
      <c r="EQ24" t="e">
        <f>AND('Application, couselor &amp; other'!L78,"AAAAADqn/5I=")</f>
        <v>#VALUE!</v>
      </c>
      <c r="ER24" t="e">
        <f>AND('Application, couselor &amp; other'!M78,"AAAAADqn/5M=")</f>
        <v>#VALUE!</v>
      </c>
      <c r="ES24" t="e">
        <f>AND('Application, couselor &amp; other'!N78,"AAAAADqn/5Q=")</f>
        <v>#VALUE!</v>
      </c>
      <c r="ET24">
        <f>IF('Application, couselor &amp; other'!79:79,"AAAAADqn/5U=",0)</f>
        <v>0</v>
      </c>
      <c r="EU24" t="e">
        <f>AND('Application, couselor &amp; other'!A79,"AAAAADqn/5Y=")</f>
        <v>#VALUE!</v>
      </c>
      <c r="EV24" t="e">
        <f>AND('Application, couselor &amp; other'!B79,"AAAAADqn/5c=")</f>
        <v>#VALUE!</v>
      </c>
      <c r="EW24" t="e">
        <f>AND('Application, couselor &amp; other'!C79,"AAAAADqn/5g=")</f>
        <v>#VALUE!</v>
      </c>
      <c r="EX24" t="e">
        <f>AND('Application, couselor &amp; other'!D79,"AAAAADqn/5k=")</f>
        <v>#VALUE!</v>
      </c>
      <c r="EY24" t="e">
        <f>AND('Application, couselor &amp; other'!E79,"AAAAADqn/5o=")</f>
        <v>#VALUE!</v>
      </c>
      <c r="EZ24" t="e">
        <f>AND('Application, couselor &amp; other'!F79,"AAAAADqn/5s=")</f>
        <v>#VALUE!</v>
      </c>
      <c r="FA24" t="e">
        <f>AND('Application, couselor &amp; other'!G79,"AAAAADqn/5w=")</f>
        <v>#VALUE!</v>
      </c>
      <c r="FB24" t="e">
        <f>AND('Application, couselor &amp; other'!H79,"AAAAADqn/50=")</f>
        <v>#VALUE!</v>
      </c>
      <c r="FC24" t="e">
        <f>AND('Application, couselor &amp; other'!I79,"AAAAADqn/54=")</f>
        <v>#VALUE!</v>
      </c>
      <c r="FD24" t="e">
        <f>AND('Application, couselor &amp; other'!J79,"AAAAADqn/58=")</f>
        <v>#VALUE!</v>
      </c>
      <c r="FE24" t="e">
        <f>AND('Application, couselor &amp; other'!K79,"AAAAADqn/6A=")</f>
        <v>#VALUE!</v>
      </c>
      <c r="FF24" t="e">
        <f>AND('Application, couselor &amp; other'!L79,"AAAAADqn/6E=")</f>
        <v>#VALUE!</v>
      </c>
      <c r="FG24" t="e">
        <f>AND('Application, couselor &amp; other'!M79,"AAAAADqn/6I=")</f>
        <v>#VALUE!</v>
      </c>
      <c r="FH24" t="e">
        <f>AND('Application, couselor &amp; other'!N79,"AAAAADqn/6M=")</f>
        <v>#VALUE!</v>
      </c>
      <c r="FI24">
        <f>IF('Application, couselor &amp; other'!80:80,"AAAAADqn/6Q=",0)</f>
        <v>0</v>
      </c>
      <c r="FJ24" t="e">
        <f>AND('Application, couselor &amp; other'!A80,"AAAAADqn/6U=")</f>
        <v>#VALUE!</v>
      </c>
      <c r="FK24" t="e">
        <f>AND('Application, couselor &amp; other'!B80,"AAAAADqn/6Y=")</f>
        <v>#VALUE!</v>
      </c>
      <c r="FL24" t="e">
        <f>AND('Application, couselor &amp; other'!C80,"AAAAADqn/6c=")</f>
        <v>#VALUE!</v>
      </c>
      <c r="FM24" t="e">
        <f>AND('Application, couselor &amp; other'!D80,"AAAAADqn/6g=")</f>
        <v>#VALUE!</v>
      </c>
      <c r="FN24" t="e">
        <f>AND('Application, couselor &amp; other'!E80,"AAAAADqn/6k=")</f>
        <v>#VALUE!</v>
      </c>
      <c r="FO24" t="e">
        <f>AND('Application, couselor &amp; other'!F80,"AAAAADqn/6o=")</f>
        <v>#VALUE!</v>
      </c>
      <c r="FP24" t="e">
        <f>AND('Application, couselor &amp; other'!G80,"AAAAADqn/6s=")</f>
        <v>#VALUE!</v>
      </c>
      <c r="FQ24" t="e">
        <f>AND('Application, couselor &amp; other'!H80,"AAAAADqn/6w=")</f>
        <v>#VALUE!</v>
      </c>
      <c r="FR24" t="e">
        <f>AND('Application, couselor &amp; other'!I80,"AAAAADqn/60=")</f>
        <v>#VALUE!</v>
      </c>
      <c r="FS24" t="e">
        <f>AND('Application, couselor &amp; other'!J80,"AAAAADqn/64=")</f>
        <v>#VALUE!</v>
      </c>
      <c r="FT24" t="e">
        <f>AND('Application, couselor &amp; other'!K80,"AAAAADqn/68=")</f>
        <v>#VALUE!</v>
      </c>
      <c r="FU24" t="e">
        <f>AND('Application, couselor &amp; other'!L80,"AAAAADqn/7A=")</f>
        <v>#VALUE!</v>
      </c>
      <c r="FV24" t="e">
        <f>AND('Application, couselor &amp; other'!M80,"AAAAADqn/7E=")</f>
        <v>#VALUE!</v>
      </c>
      <c r="FW24" t="e">
        <f>AND('Application, couselor &amp; other'!N80,"AAAAADqn/7I=")</f>
        <v>#VALUE!</v>
      </c>
      <c r="FX24">
        <f>IF('Application, couselor &amp; other'!81:81,"AAAAADqn/7M=",0)</f>
        <v>0</v>
      </c>
      <c r="FY24" t="e">
        <f>AND('Application, couselor &amp; other'!A81,"AAAAADqn/7Q=")</f>
        <v>#VALUE!</v>
      </c>
      <c r="FZ24" t="e">
        <f>AND('Application, couselor &amp; other'!B81,"AAAAADqn/7U=")</f>
        <v>#VALUE!</v>
      </c>
      <c r="GA24" t="e">
        <f>AND('Application, couselor &amp; other'!C81,"AAAAADqn/7Y=")</f>
        <v>#VALUE!</v>
      </c>
      <c r="GB24" t="e">
        <f>AND('Application, couselor &amp; other'!D81,"AAAAADqn/7c=")</f>
        <v>#VALUE!</v>
      </c>
      <c r="GC24" t="e">
        <f>AND('Application, couselor &amp; other'!E81,"AAAAADqn/7g=")</f>
        <v>#VALUE!</v>
      </c>
      <c r="GD24" t="e">
        <f>AND('Application, couselor &amp; other'!F81,"AAAAADqn/7k=")</f>
        <v>#VALUE!</v>
      </c>
      <c r="GE24" t="e">
        <f>AND('Application, couselor &amp; other'!G81,"AAAAADqn/7o=")</f>
        <v>#VALUE!</v>
      </c>
      <c r="GF24" t="e">
        <f>AND('Application, couselor &amp; other'!H81,"AAAAADqn/7s=")</f>
        <v>#VALUE!</v>
      </c>
      <c r="GG24" t="e">
        <f>AND('Application, couselor &amp; other'!I81,"AAAAADqn/7w=")</f>
        <v>#VALUE!</v>
      </c>
      <c r="GH24" t="e">
        <f>AND('Application, couselor &amp; other'!J81,"AAAAADqn/70=")</f>
        <v>#VALUE!</v>
      </c>
      <c r="GI24" t="e">
        <f>AND('Application, couselor &amp; other'!K81,"AAAAADqn/74=")</f>
        <v>#VALUE!</v>
      </c>
      <c r="GJ24" t="e">
        <f>AND('Application, couselor &amp; other'!L81,"AAAAADqn/78=")</f>
        <v>#VALUE!</v>
      </c>
      <c r="GK24" t="e">
        <f>AND('Application, couselor &amp; other'!M81,"AAAAADqn/8A=")</f>
        <v>#VALUE!</v>
      </c>
      <c r="GL24" t="e">
        <f>AND('Application, couselor &amp; other'!N81,"AAAAADqn/8E=")</f>
        <v>#VALUE!</v>
      </c>
      <c r="GM24">
        <f>IF('Application, couselor &amp; other'!82:82,"AAAAADqn/8I=",0)</f>
        <v>0</v>
      </c>
      <c r="GN24" t="e">
        <f>AND('Application, couselor &amp; other'!A82,"AAAAADqn/8M=")</f>
        <v>#VALUE!</v>
      </c>
      <c r="GO24" t="e">
        <f>AND('Application, couselor &amp; other'!B82,"AAAAADqn/8Q=")</f>
        <v>#VALUE!</v>
      </c>
      <c r="GP24" t="e">
        <f>AND('Application, couselor &amp; other'!C82,"AAAAADqn/8U=")</f>
        <v>#VALUE!</v>
      </c>
      <c r="GQ24" t="e">
        <f>AND('Application, couselor &amp; other'!D82,"AAAAADqn/8Y=")</f>
        <v>#VALUE!</v>
      </c>
      <c r="GR24" t="e">
        <f>AND('Application, couselor &amp; other'!E82,"AAAAADqn/8c=")</f>
        <v>#VALUE!</v>
      </c>
      <c r="GS24" t="e">
        <f>AND('Application, couselor &amp; other'!F82,"AAAAADqn/8g=")</f>
        <v>#VALUE!</v>
      </c>
      <c r="GT24" t="e">
        <f>AND('Application, couselor &amp; other'!G82,"AAAAADqn/8k=")</f>
        <v>#VALUE!</v>
      </c>
      <c r="GU24" t="e">
        <f>AND('Application, couselor &amp; other'!H82,"AAAAADqn/8o=")</f>
        <v>#VALUE!</v>
      </c>
      <c r="GV24" t="e">
        <f>AND('Application, couselor &amp; other'!I82,"AAAAADqn/8s=")</f>
        <v>#VALUE!</v>
      </c>
      <c r="GW24" t="e">
        <f>AND('Application, couselor &amp; other'!J82,"AAAAADqn/8w=")</f>
        <v>#VALUE!</v>
      </c>
      <c r="GX24" t="e">
        <f>AND('Application, couselor &amp; other'!K82,"AAAAADqn/80=")</f>
        <v>#VALUE!</v>
      </c>
      <c r="GY24" t="e">
        <f>AND('Application, couselor &amp; other'!L82,"AAAAADqn/84=")</f>
        <v>#VALUE!</v>
      </c>
      <c r="GZ24" t="e">
        <f>AND('Application, couselor &amp; other'!M82,"AAAAADqn/88=")</f>
        <v>#VALUE!</v>
      </c>
      <c r="HA24" t="e">
        <f>AND('Application, couselor &amp; other'!N82,"AAAAADqn/9A=")</f>
        <v>#VALUE!</v>
      </c>
      <c r="HB24">
        <f>IF('Application, couselor &amp; other'!83:83,"AAAAADqn/9E=",0)</f>
        <v>0</v>
      </c>
      <c r="HC24" t="e">
        <f>AND('Application, couselor &amp; other'!A83,"AAAAADqn/9I=")</f>
        <v>#VALUE!</v>
      </c>
      <c r="HD24" t="e">
        <f>AND('Application, couselor &amp; other'!B83,"AAAAADqn/9M=")</f>
        <v>#VALUE!</v>
      </c>
      <c r="HE24" t="e">
        <f>AND('Application, couselor &amp; other'!C83,"AAAAADqn/9Q=")</f>
        <v>#VALUE!</v>
      </c>
      <c r="HF24" t="e">
        <f>AND('Application, couselor &amp; other'!D83,"AAAAADqn/9U=")</f>
        <v>#VALUE!</v>
      </c>
      <c r="HG24" t="e">
        <f>AND('Application, couselor &amp; other'!E83,"AAAAADqn/9Y=")</f>
        <v>#VALUE!</v>
      </c>
      <c r="HH24" t="e">
        <f>AND('Application, couselor &amp; other'!F83,"AAAAADqn/9c=")</f>
        <v>#VALUE!</v>
      </c>
      <c r="HI24" t="e">
        <f>AND('Application, couselor &amp; other'!G83,"AAAAADqn/9g=")</f>
        <v>#VALUE!</v>
      </c>
      <c r="HJ24" t="e">
        <f>AND('Application, couselor &amp; other'!H83,"AAAAADqn/9k=")</f>
        <v>#VALUE!</v>
      </c>
      <c r="HK24" t="e">
        <f>AND('Application, couselor &amp; other'!I83,"AAAAADqn/9o=")</f>
        <v>#VALUE!</v>
      </c>
      <c r="HL24" t="e">
        <f>AND('Application, couselor &amp; other'!J83,"AAAAADqn/9s=")</f>
        <v>#VALUE!</v>
      </c>
      <c r="HM24" t="e">
        <f>AND('Application, couselor &amp; other'!K83,"AAAAADqn/9w=")</f>
        <v>#VALUE!</v>
      </c>
      <c r="HN24" t="e">
        <f>AND('Application, couselor &amp; other'!L83,"AAAAADqn/90=")</f>
        <v>#VALUE!</v>
      </c>
      <c r="HO24" t="e">
        <f>AND('Application, couselor &amp; other'!M83,"AAAAADqn/94=")</f>
        <v>#VALUE!</v>
      </c>
      <c r="HP24" t="e">
        <f>AND('Application, couselor &amp; other'!N83,"AAAAADqn/98=")</f>
        <v>#VALUE!</v>
      </c>
      <c r="HQ24">
        <f>IF('Application, couselor &amp; other'!84:84,"AAAAADqn/+A=",0)</f>
        <v>0</v>
      </c>
      <c r="HR24" t="e">
        <f>AND('Application, couselor &amp; other'!A84,"AAAAADqn/+E=")</f>
        <v>#VALUE!</v>
      </c>
      <c r="HS24" t="e">
        <f>AND('Application, couselor &amp; other'!B84,"AAAAADqn/+I=")</f>
        <v>#VALUE!</v>
      </c>
      <c r="HT24" t="e">
        <f>AND('Application, couselor &amp; other'!C84,"AAAAADqn/+M=")</f>
        <v>#VALUE!</v>
      </c>
      <c r="HU24" t="e">
        <f>AND('Application, couselor &amp; other'!D84,"AAAAADqn/+Q=")</f>
        <v>#VALUE!</v>
      </c>
      <c r="HV24" t="e">
        <f>AND('Application, couselor &amp; other'!E84,"AAAAADqn/+U=")</f>
        <v>#VALUE!</v>
      </c>
      <c r="HW24" t="e">
        <f>AND('Application, couselor &amp; other'!F84,"AAAAADqn/+Y=")</f>
        <v>#VALUE!</v>
      </c>
      <c r="HX24" t="e">
        <f>AND('Application, couselor &amp; other'!G84,"AAAAADqn/+c=")</f>
        <v>#VALUE!</v>
      </c>
      <c r="HY24" t="e">
        <f>AND('Application, couselor &amp; other'!H84,"AAAAADqn/+g=")</f>
        <v>#VALUE!</v>
      </c>
      <c r="HZ24" t="e">
        <f>AND('Application, couselor &amp; other'!I84,"AAAAADqn/+k=")</f>
        <v>#VALUE!</v>
      </c>
      <c r="IA24" t="e">
        <f>AND('Application, couselor &amp; other'!J84,"AAAAADqn/+o=")</f>
        <v>#VALUE!</v>
      </c>
      <c r="IB24" t="e">
        <f>AND('Application, couselor &amp; other'!K84,"AAAAADqn/+s=")</f>
        <v>#VALUE!</v>
      </c>
      <c r="IC24" t="e">
        <f>AND('Application, couselor &amp; other'!L84,"AAAAADqn/+w=")</f>
        <v>#VALUE!</v>
      </c>
      <c r="ID24" t="e">
        <f>AND('Application, couselor &amp; other'!M84,"AAAAADqn/+0=")</f>
        <v>#VALUE!</v>
      </c>
      <c r="IE24" t="e">
        <f>AND('Application, couselor &amp; other'!N84,"AAAAADqn/+4=")</f>
        <v>#VALUE!</v>
      </c>
      <c r="IF24">
        <f>IF('Application, couselor &amp; other'!85:85,"AAAAADqn/+8=",0)</f>
        <v>0</v>
      </c>
      <c r="IG24" t="e">
        <f>AND('Application, couselor &amp; other'!A85,"AAAAADqn//A=")</f>
        <v>#VALUE!</v>
      </c>
      <c r="IH24" t="e">
        <f>AND('Application, couselor &amp; other'!B85,"AAAAADqn//E=")</f>
        <v>#VALUE!</v>
      </c>
      <c r="II24" t="e">
        <f>AND('Application, couselor &amp; other'!C85,"AAAAADqn//I=")</f>
        <v>#VALUE!</v>
      </c>
      <c r="IJ24" t="e">
        <f>AND('Application, couselor &amp; other'!D85,"AAAAADqn//M=")</f>
        <v>#VALUE!</v>
      </c>
      <c r="IK24" t="e">
        <f>AND('Application, couselor &amp; other'!E85,"AAAAADqn//Q=")</f>
        <v>#VALUE!</v>
      </c>
      <c r="IL24" t="e">
        <f>AND('Application, couselor &amp; other'!F85,"AAAAADqn//U=")</f>
        <v>#VALUE!</v>
      </c>
      <c r="IM24" t="e">
        <f>AND('Application, couselor &amp; other'!G85,"AAAAADqn//Y=")</f>
        <v>#VALUE!</v>
      </c>
      <c r="IN24" t="e">
        <f>AND('Application, couselor &amp; other'!H85,"AAAAADqn//c=")</f>
        <v>#VALUE!</v>
      </c>
      <c r="IO24" t="e">
        <f>AND('Application, couselor &amp; other'!I85,"AAAAADqn//g=")</f>
        <v>#VALUE!</v>
      </c>
      <c r="IP24" t="e">
        <f>AND('Application, couselor &amp; other'!J85,"AAAAADqn//k=")</f>
        <v>#VALUE!</v>
      </c>
      <c r="IQ24" t="e">
        <f>AND('Application, couselor &amp; other'!K85,"AAAAADqn//o=")</f>
        <v>#VALUE!</v>
      </c>
      <c r="IR24" t="e">
        <f>AND('Application, couselor &amp; other'!L85,"AAAAADqn//s=")</f>
        <v>#VALUE!</v>
      </c>
      <c r="IS24" t="e">
        <f>AND('Application, couselor &amp; other'!M85,"AAAAADqn//w=")</f>
        <v>#VALUE!</v>
      </c>
      <c r="IT24" t="e">
        <f>AND('Application, couselor &amp; other'!N85,"AAAAADqn//0=")</f>
        <v>#VALUE!</v>
      </c>
      <c r="IU24">
        <f>IF('Application, couselor &amp; other'!86:86,"AAAAADqn//4=",0)</f>
        <v>0</v>
      </c>
      <c r="IV24" t="e">
        <f>AND('Application, couselor &amp; other'!A86,"AAAAADqn//8=")</f>
        <v>#VALUE!</v>
      </c>
    </row>
    <row r="25" spans="1:256" ht="12.75">
      <c r="A25" t="e">
        <f>AND('Application, couselor &amp; other'!B86,"AAAAAFvt3wA=")</f>
        <v>#VALUE!</v>
      </c>
      <c r="B25" t="e">
        <f>AND('Application, couselor &amp; other'!C86,"AAAAAFvt3wE=")</f>
        <v>#VALUE!</v>
      </c>
      <c r="C25" t="e">
        <f>AND('Application, couselor &amp; other'!D86,"AAAAAFvt3wI=")</f>
        <v>#VALUE!</v>
      </c>
      <c r="D25" t="e">
        <f>AND('Application, couselor &amp; other'!E86,"AAAAAFvt3wM=")</f>
        <v>#VALUE!</v>
      </c>
      <c r="E25" t="e">
        <f>AND('Application, couselor &amp; other'!F86,"AAAAAFvt3wQ=")</f>
        <v>#VALUE!</v>
      </c>
      <c r="F25" t="e">
        <f>AND('Application, couselor &amp; other'!G86,"AAAAAFvt3wU=")</f>
        <v>#VALUE!</v>
      </c>
      <c r="G25" t="e">
        <f>AND('Application, couselor &amp; other'!H86,"AAAAAFvt3wY=")</f>
        <v>#VALUE!</v>
      </c>
      <c r="H25" t="e">
        <f>AND('Application, couselor &amp; other'!I86,"AAAAAFvt3wc=")</f>
        <v>#VALUE!</v>
      </c>
      <c r="I25" t="e">
        <f>AND('Application, couselor &amp; other'!J86,"AAAAAFvt3wg=")</f>
        <v>#VALUE!</v>
      </c>
      <c r="J25" t="e">
        <f>AND('Application, couselor &amp; other'!K86,"AAAAAFvt3wk=")</f>
        <v>#VALUE!</v>
      </c>
      <c r="K25" t="e">
        <f>AND('Application, couselor &amp; other'!L86,"AAAAAFvt3wo=")</f>
        <v>#VALUE!</v>
      </c>
      <c r="L25" t="e">
        <f>AND('Application, couselor &amp; other'!M86,"AAAAAFvt3ws=")</f>
        <v>#VALUE!</v>
      </c>
      <c r="M25" t="e">
        <f>AND('Application, couselor &amp; other'!N86,"AAAAAFvt3ww=")</f>
        <v>#VALUE!</v>
      </c>
      <c r="N25">
        <f>IF('Application, couselor &amp; other'!87:87,"AAAAAFvt3w0=",0)</f>
        <v>0</v>
      </c>
      <c r="O25" t="e">
        <f>AND('Application, couselor &amp; other'!A87,"AAAAAFvt3w4=")</f>
        <v>#VALUE!</v>
      </c>
      <c r="P25" t="e">
        <f>AND('Application, couselor &amp; other'!B87,"AAAAAFvt3w8=")</f>
        <v>#VALUE!</v>
      </c>
      <c r="Q25" t="e">
        <f>AND('Application, couselor &amp; other'!C87,"AAAAAFvt3xA=")</f>
        <v>#VALUE!</v>
      </c>
      <c r="R25" t="e">
        <f>AND('Application, couselor &amp; other'!D87,"AAAAAFvt3xE=")</f>
        <v>#VALUE!</v>
      </c>
      <c r="S25" t="e">
        <f>AND('Application, couselor &amp; other'!E87,"AAAAAFvt3xI=")</f>
        <v>#VALUE!</v>
      </c>
      <c r="T25" t="e">
        <f>AND('Application, couselor &amp; other'!F87,"AAAAAFvt3xM=")</f>
        <v>#VALUE!</v>
      </c>
      <c r="U25" t="e">
        <f>AND('Application, couselor &amp; other'!G87,"AAAAAFvt3xQ=")</f>
        <v>#VALUE!</v>
      </c>
      <c r="V25" t="e">
        <f>AND('Application, couselor &amp; other'!H87,"AAAAAFvt3xU=")</f>
        <v>#VALUE!</v>
      </c>
      <c r="W25" t="e">
        <f>AND('Application, couselor &amp; other'!I87,"AAAAAFvt3xY=")</f>
        <v>#VALUE!</v>
      </c>
      <c r="X25" t="e">
        <f>AND('Application, couselor &amp; other'!J87,"AAAAAFvt3xc=")</f>
        <v>#VALUE!</v>
      </c>
      <c r="Y25" t="e">
        <f>AND('Application, couselor &amp; other'!K87,"AAAAAFvt3xg=")</f>
        <v>#VALUE!</v>
      </c>
      <c r="Z25" t="e">
        <f>AND('Application, couselor &amp; other'!L87,"AAAAAFvt3xk=")</f>
        <v>#VALUE!</v>
      </c>
      <c r="AA25" t="e">
        <f>AND('Application, couselor &amp; other'!M87,"AAAAAFvt3xo=")</f>
        <v>#VALUE!</v>
      </c>
      <c r="AB25" t="e">
        <f>AND('Application, couselor &amp; other'!N87,"AAAAAFvt3xs=")</f>
        <v>#VALUE!</v>
      </c>
      <c r="AC25">
        <f>IF('Application, couselor &amp; other'!88:88,"AAAAAFvt3xw=",0)</f>
        <v>0</v>
      </c>
      <c r="AD25" t="e">
        <f>AND('Application, couselor &amp; other'!A88,"AAAAAFvt3x0=")</f>
        <v>#VALUE!</v>
      </c>
      <c r="AE25" t="e">
        <f>AND('Application, couselor &amp; other'!B88,"AAAAAFvt3x4=")</f>
        <v>#VALUE!</v>
      </c>
      <c r="AF25" t="e">
        <f>AND('Application, couselor &amp; other'!C88,"AAAAAFvt3x8=")</f>
        <v>#VALUE!</v>
      </c>
      <c r="AG25" t="e">
        <f>AND('Application, couselor &amp; other'!D88,"AAAAAFvt3yA=")</f>
        <v>#VALUE!</v>
      </c>
      <c r="AH25" t="e">
        <f>AND('Application, couselor &amp; other'!E88,"AAAAAFvt3yE=")</f>
        <v>#VALUE!</v>
      </c>
      <c r="AI25" t="e">
        <f>AND('Application, couselor &amp; other'!F88,"AAAAAFvt3yI=")</f>
        <v>#VALUE!</v>
      </c>
      <c r="AJ25" t="e">
        <f>AND('Application, couselor &amp; other'!G88,"AAAAAFvt3yM=")</f>
        <v>#VALUE!</v>
      </c>
      <c r="AK25" t="e">
        <f>AND('Application, couselor &amp; other'!H88,"AAAAAFvt3yQ=")</f>
        <v>#VALUE!</v>
      </c>
      <c r="AL25" t="e">
        <f>AND('Application, couselor &amp; other'!I88,"AAAAAFvt3yU=")</f>
        <v>#VALUE!</v>
      </c>
      <c r="AM25" t="e">
        <f>AND('Application, couselor &amp; other'!J88,"AAAAAFvt3yY=")</f>
        <v>#VALUE!</v>
      </c>
      <c r="AN25" t="e">
        <f>AND('Application, couselor &amp; other'!K88,"AAAAAFvt3yc=")</f>
        <v>#VALUE!</v>
      </c>
      <c r="AO25" t="e">
        <f>AND('Application, couselor &amp; other'!L88,"AAAAAFvt3yg=")</f>
        <v>#VALUE!</v>
      </c>
      <c r="AP25" t="e">
        <f>AND('Application, couselor &amp; other'!M88,"AAAAAFvt3yk=")</f>
        <v>#VALUE!</v>
      </c>
      <c r="AQ25" t="e">
        <f>AND('Application, couselor &amp; other'!N88,"AAAAAFvt3yo=")</f>
        <v>#VALUE!</v>
      </c>
      <c r="AR25">
        <f>IF('Application, couselor &amp; other'!89:89,"AAAAAFvt3ys=",0)</f>
        <v>0</v>
      </c>
      <c r="AS25" t="e">
        <f>AND('Application, couselor &amp; other'!A89,"AAAAAFvt3yw=")</f>
        <v>#VALUE!</v>
      </c>
      <c r="AT25" t="e">
        <f>AND('Application, couselor &amp; other'!B89,"AAAAAFvt3y0=")</f>
        <v>#VALUE!</v>
      </c>
      <c r="AU25" t="e">
        <f>AND('Application, couselor &amp; other'!C89,"AAAAAFvt3y4=")</f>
        <v>#VALUE!</v>
      </c>
      <c r="AV25" t="e">
        <f>AND('Application, couselor &amp; other'!D89,"AAAAAFvt3y8=")</f>
        <v>#VALUE!</v>
      </c>
      <c r="AW25" t="e">
        <f>AND('Application, couselor &amp; other'!E89,"AAAAAFvt3zA=")</f>
        <v>#VALUE!</v>
      </c>
      <c r="AX25" t="e">
        <f>AND('Application, couselor &amp; other'!F89,"AAAAAFvt3zE=")</f>
        <v>#VALUE!</v>
      </c>
      <c r="AY25" t="e">
        <f>AND('Application, couselor &amp; other'!G89,"AAAAAFvt3zI=")</f>
        <v>#VALUE!</v>
      </c>
      <c r="AZ25" t="e">
        <f>AND('Application, couselor &amp; other'!H89,"AAAAAFvt3zM=")</f>
        <v>#VALUE!</v>
      </c>
      <c r="BA25" t="e">
        <f>AND('Application, couselor &amp; other'!I89,"AAAAAFvt3zQ=")</f>
        <v>#VALUE!</v>
      </c>
      <c r="BB25" t="e">
        <f>AND('Application, couselor &amp; other'!J89,"AAAAAFvt3zU=")</f>
        <v>#VALUE!</v>
      </c>
      <c r="BC25" t="e">
        <f>AND('Application, couselor &amp; other'!K89,"AAAAAFvt3zY=")</f>
        <v>#VALUE!</v>
      </c>
      <c r="BD25" t="e">
        <f>AND('Application, couselor &amp; other'!L89,"AAAAAFvt3zc=")</f>
        <v>#VALUE!</v>
      </c>
      <c r="BE25" t="e">
        <f>AND('Application, couselor &amp; other'!M89,"AAAAAFvt3zg=")</f>
        <v>#VALUE!</v>
      </c>
      <c r="BF25" t="e">
        <f>AND('Application, couselor &amp; other'!N89,"AAAAAFvt3zk=")</f>
        <v>#VALUE!</v>
      </c>
      <c r="BG25">
        <f>IF('Application, couselor &amp; other'!90:90,"AAAAAFvt3zo=",0)</f>
        <v>0</v>
      </c>
      <c r="BH25" t="e">
        <f>AND('Application, couselor &amp; other'!A90,"AAAAAFvt3zs=")</f>
        <v>#VALUE!</v>
      </c>
      <c r="BI25" t="e">
        <f>AND('Application, couselor &amp; other'!B90,"AAAAAFvt3zw=")</f>
        <v>#VALUE!</v>
      </c>
      <c r="BJ25" t="e">
        <f>AND('Application, couselor &amp; other'!C90,"AAAAAFvt3z0=")</f>
        <v>#VALUE!</v>
      </c>
      <c r="BK25" t="e">
        <f>AND('Application, couselor &amp; other'!D90,"AAAAAFvt3z4=")</f>
        <v>#VALUE!</v>
      </c>
      <c r="BL25" t="e">
        <f>AND('Application, couselor &amp; other'!E90,"AAAAAFvt3z8=")</f>
        <v>#VALUE!</v>
      </c>
      <c r="BM25" t="e">
        <f>AND('Application, couselor &amp; other'!F90,"AAAAAFvt30A=")</f>
        <v>#VALUE!</v>
      </c>
      <c r="BN25" t="e">
        <f>AND('Application, couselor &amp; other'!G90,"AAAAAFvt30E=")</f>
        <v>#VALUE!</v>
      </c>
      <c r="BO25" t="e">
        <f>AND('Application, couselor &amp; other'!H90,"AAAAAFvt30I=")</f>
        <v>#VALUE!</v>
      </c>
      <c r="BP25" t="e">
        <f>AND('Application, couselor &amp; other'!I90,"AAAAAFvt30M=")</f>
        <v>#VALUE!</v>
      </c>
      <c r="BQ25" t="e">
        <f>AND('Application, couselor &amp; other'!J90,"AAAAAFvt30Q=")</f>
        <v>#VALUE!</v>
      </c>
      <c r="BR25" t="e">
        <f>AND('Application, couselor &amp; other'!K90,"AAAAAFvt30U=")</f>
        <v>#VALUE!</v>
      </c>
      <c r="BS25" t="e">
        <f>AND('Application, couselor &amp; other'!L90,"AAAAAFvt30Y=")</f>
        <v>#VALUE!</v>
      </c>
      <c r="BT25" t="e">
        <f>AND('Application, couselor &amp; other'!M90,"AAAAAFvt30c=")</f>
        <v>#VALUE!</v>
      </c>
      <c r="BU25" t="e">
        <f>AND('Application, couselor &amp; other'!N90,"AAAAAFvt30g=")</f>
        <v>#VALUE!</v>
      </c>
      <c r="BV25">
        <f>IF('Application, couselor &amp; other'!91:91,"AAAAAFvt30k=",0)</f>
        <v>0</v>
      </c>
      <c r="BW25" t="e">
        <f>AND('Application, couselor &amp; other'!A91,"AAAAAFvt30o=")</f>
        <v>#VALUE!</v>
      </c>
      <c r="BX25" t="e">
        <f>AND('Application, couselor &amp; other'!B91,"AAAAAFvt30s=")</f>
        <v>#VALUE!</v>
      </c>
      <c r="BY25" t="e">
        <f>AND('Application, couselor &amp; other'!C91,"AAAAAFvt30w=")</f>
        <v>#VALUE!</v>
      </c>
      <c r="BZ25" t="e">
        <f>AND('Application, couselor &amp; other'!D91,"AAAAAFvt300=")</f>
        <v>#VALUE!</v>
      </c>
      <c r="CA25" t="e">
        <f>AND('Application, couselor &amp; other'!E91,"AAAAAFvt304=")</f>
        <v>#VALUE!</v>
      </c>
      <c r="CB25" t="e">
        <f>AND('Application, couselor &amp; other'!F91,"AAAAAFvt308=")</f>
        <v>#VALUE!</v>
      </c>
      <c r="CC25" t="e">
        <f>AND('Application, couselor &amp; other'!G91,"AAAAAFvt31A=")</f>
        <v>#VALUE!</v>
      </c>
      <c r="CD25" t="e">
        <f>AND('Application, couselor &amp; other'!H91,"AAAAAFvt31E=")</f>
        <v>#VALUE!</v>
      </c>
      <c r="CE25" t="e">
        <f>AND('Application, couselor &amp; other'!I91,"AAAAAFvt31I=")</f>
        <v>#VALUE!</v>
      </c>
      <c r="CF25" t="e">
        <f>AND('Application, couselor &amp; other'!J91,"AAAAAFvt31M=")</f>
        <v>#VALUE!</v>
      </c>
      <c r="CG25" t="e">
        <f>AND('Application, couselor &amp; other'!K91,"AAAAAFvt31Q=")</f>
        <v>#VALUE!</v>
      </c>
      <c r="CH25" t="e">
        <f>AND('Application, couselor &amp; other'!L91,"AAAAAFvt31U=")</f>
        <v>#VALUE!</v>
      </c>
      <c r="CI25" t="e">
        <f>AND('Application, couselor &amp; other'!M91,"AAAAAFvt31Y=")</f>
        <v>#VALUE!</v>
      </c>
      <c r="CJ25" t="e">
        <f>AND('Application, couselor &amp; other'!N91,"AAAAAFvt31c=")</f>
        <v>#VALUE!</v>
      </c>
      <c r="CK25">
        <f>IF('Application, couselor &amp; other'!92:92,"AAAAAFvt31g=",0)</f>
        <v>0</v>
      </c>
      <c r="CL25" t="e">
        <f>AND('Application, couselor &amp; other'!A92,"AAAAAFvt31k=")</f>
        <v>#VALUE!</v>
      </c>
      <c r="CM25" t="e">
        <f>AND('Application, couselor &amp; other'!B92,"AAAAAFvt31o=")</f>
        <v>#VALUE!</v>
      </c>
      <c r="CN25" t="e">
        <f>AND('Application, couselor &amp; other'!C92,"AAAAAFvt31s=")</f>
        <v>#VALUE!</v>
      </c>
      <c r="CO25" t="e">
        <f>AND('Application, couselor &amp; other'!D92,"AAAAAFvt31w=")</f>
        <v>#VALUE!</v>
      </c>
      <c r="CP25" t="e">
        <f>AND('Application, couselor &amp; other'!E92,"AAAAAFvt310=")</f>
        <v>#VALUE!</v>
      </c>
      <c r="CQ25" t="e">
        <f>AND('Application, couselor &amp; other'!F92,"AAAAAFvt314=")</f>
        <v>#VALUE!</v>
      </c>
      <c r="CR25" t="e">
        <f>AND('Application, couselor &amp; other'!G92,"AAAAAFvt318=")</f>
        <v>#VALUE!</v>
      </c>
      <c r="CS25" t="e">
        <f>AND('Application, couselor &amp; other'!H92,"AAAAAFvt32A=")</f>
        <v>#VALUE!</v>
      </c>
      <c r="CT25" t="e">
        <f>AND('Application, couselor &amp; other'!I92,"AAAAAFvt32E=")</f>
        <v>#VALUE!</v>
      </c>
      <c r="CU25" t="e">
        <f>AND('Application, couselor &amp; other'!J92,"AAAAAFvt32I=")</f>
        <v>#VALUE!</v>
      </c>
      <c r="CV25" t="e">
        <f>AND('Application, couselor &amp; other'!K92,"AAAAAFvt32M=")</f>
        <v>#VALUE!</v>
      </c>
      <c r="CW25" t="e">
        <f>AND('Application, couselor &amp; other'!L92,"AAAAAFvt32Q=")</f>
        <v>#VALUE!</v>
      </c>
      <c r="CX25" t="e">
        <f>AND('Application, couselor &amp; other'!M92,"AAAAAFvt32U=")</f>
        <v>#VALUE!</v>
      </c>
      <c r="CY25" t="e">
        <f>AND('Application, couselor &amp; other'!N92,"AAAAAFvt32Y=")</f>
        <v>#VALUE!</v>
      </c>
      <c r="CZ25">
        <f>IF('Application, couselor &amp; other'!93:93,"AAAAAFvt32c=",0)</f>
        <v>0</v>
      </c>
      <c r="DA25" t="e">
        <f>AND('Application, couselor &amp; other'!A93,"AAAAAFvt32g=")</f>
        <v>#VALUE!</v>
      </c>
      <c r="DB25" t="e">
        <f>AND('Application, couselor &amp; other'!B93,"AAAAAFvt32k=")</f>
        <v>#VALUE!</v>
      </c>
      <c r="DC25" t="e">
        <f>AND('Application, couselor &amp; other'!C93,"AAAAAFvt32o=")</f>
        <v>#VALUE!</v>
      </c>
      <c r="DD25" t="e">
        <f>AND('Application, couselor &amp; other'!D93,"AAAAAFvt32s=")</f>
        <v>#VALUE!</v>
      </c>
      <c r="DE25" t="e">
        <f>AND('Application, couselor &amp; other'!E93,"AAAAAFvt32w=")</f>
        <v>#VALUE!</v>
      </c>
      <c r="DF25" t="e">
        <f>AND('Application, couselor &amp; other'!F93,"AAAAAFvt320=")</f>
        <v>#VALUE!</v>
      </c>
      <c r="DG25" t="e">
        <f>AND('Application, couselor &amp; other'!G93,"AAAAAFvt324=")</f>
        <v>#VALUE!</v>
      </c>
      <c r="DH25" t="e">
        <f>AND('Application, couselor &amp; other'!H93,"AAAAAFvt328=")</f>
        <v>#VALUE!</v>
      </c>
      <c r="DI25" t="e">
        <f>AND('Application, couselor &amp; other'!I93,"AAAAAFvt33A=")</f>
        <v>#VALUE!</v>
      </c>
      <c r="DJ25" t="e">
        <f>AND('Application, couselor &amp; other'!J93,"AAAAAFvt33E=")</f>
        <v>#VALUE!</v>
      </c>
      <c r="DK25" t="e">
        <f>AND('Application, couselor &amp; other'!K93,"AAAAAFvt33I=")</f>
        <v>#VALUE!</v>
      </c>
      <c r="DL25" t="e">
        <f>AND('Application, couselor &amp; other'!L93,"AAAAAFvt33M=")</f>
        <v>#VALUE!</v>
      </c>
      <c r="DM25" t="e">
        <f>AND('Application, couselor &amp; other'!M93,"AAAAAFvt33Q=")</f>
        <v>#VALUE!</v>
      </c>
      <c r="DN25" t="e">
        <f>AND('Application, couselor &amp; other'!N93,"AAAAAFvt33U=")</f>
        <v>#VALUE!</v>
      </c>
      <c r="DO25">
        <f>IF('Application, couselor &amp; other'!94:94,"AAAAAFvt33Y=",0)</f>
        <v>0</v>
      </c>
      <c r="DP25" t="e">
        <f>AND('Application, couselor &amp; other'!A94,"AAAAAFvt33c=")</f>
        <v>#VALUE!</v>
      </c>
      <c r="DQ25" t="e">
        <f>AND('Application, couselor &amp; other'!B94,"AAAAAFvt33g=")</f>
        <v>#VALUE!</v>
      </c>
      <c r="DR25" t="e">
        <f>AND('Application, couselor &amp; other'!C94,"AAAAAFvt33k=")</f>
        <v>#VALUE!</v>
      </c>
      <c r="DS25" t="e">
        <f>AND('Application, couselor &amp; other'!D94,"AAAAAFvt33o=")</f>
        <v>#VALUE!</v>
      </c>
      <c r="DT25" t="e">
        <f>AND('Application, couselor &amp; other'!E94,"AAAAAFvt33s=")</f>
        <v>#VALUE!</v>
      </c>
      <c r="DU25" t="e">
        <f>AND('Application, couselor &amp; other'!F94,"AAAAAFvt33w=")</f>
        <v>#VALUE!</v>
      </c>
      <c r="DV25" t="e">
        <f>AND('Application, couselor &amp; other'!G94,"AAAAAFvt330=")</f>
        <v>#VALUE!</v>
      </c>
      <c r="DW25" t="e">
        <f>AND('Application, couselor &amp; other'!H94,"AAAAAFvt334=")</f>
        <v>#VALUE!</v>
      </c>
      <c r="DX25" t="e">
        <f>AND('Application, couselor &amp; other'!I94,"AAAAAFvt338=")</f>
        <v>#VALUE!</v>
      </c>
      <c r="DY25" t="e">
        <f>AND('Application, couselor &amp; other'!J94,"AAAAAFvt34A=")</f>
        <v>#VALUE!</v>
      </c>
      <c r="DZ25" t="e">
        <f>AND('Application, couselor &amp; other'!K94,"AAAAAFvt34E=")</f>
        <v>#VALUE!</v>
      </c>
      <c r="EA25" t="e">
        <f>AND('Application, couselor &amp; other'!L94,"AAAAAFvt34I=")</f>
        <v>#VALUE!</v>
      </c>
      <c r="EB25" t="e">
        <f>AND('Application, couselor &amp; other'!M94,"AAAAAFvt34M=")</f>
        <v>#VALUE!</v>
      </c>
      <c r="EC25" t="e">
        <f>AND('Application, couselor &amp; other'!N94,"AAAAAFvt34Q=")</f>
        <v>#VALUE!</v>
      </c>
      <c r="ED25">
        <f>IF('Application, couselor &amp; other'!95:95,"AAAAAFvt34U=",0)</f>
        <v>0</v>
      </c>
      <c r="EE25" t="e">
        <f>AND('Application, couselor &amp; other'!A95,"AAAAAFvt34Y=")</f>
        <v>#VALUE!</v>
      </c>
      <c r="EF25" t="e">
        <f>AND('Application, couselor &amp; other'!B95,"AAAAAFvt34c=")</f>
        <v>#VALUE!</v>
      </c>
      <c r="EG25" t="e">
        <f>AND('Application, couselor &amp; other'!C95,"AAAAAFvt34g=")</f>
        <v>#VALUE!</v>
      </c>
      <c r="EH25" t="e">
        <f>AND('Application, couselor &amp; other'!D95,"AAAAAFvt34k=")</f>
        <v>#VALUE!</v>
      </c>
      <c r="EI25" t="e">
        <f>AND('Application, couselor &amp; other'!E95,"AAAAAFvt34o=")</f>
        <v>#VALUE!</v>
      </c>
      <c r="EJ25" t="e">
        <f>AND('Application, couselor &amp; other'!F95,"AAAAAFvt34s=")</f>
        <v>#VALUE!</v>
      </c>
      <c r="EK25" t="e">
        <f>AND('Application, couselor &amp; other'!G95,"AAAAAFvt34w=")</f>
        <v>#VALUE!</v>
      </c>
      <c r="EL25" t="e">
        <f>AND('Application, couselor &amp; other'!H95,"AAAAAFvt340=")</f>
        <v>#VALUE!</v>
      </c>
      <c r="EM25" t="e">
        <f>AND('Application, couselor &amp; other'!I95,"AAAAAFvt344=")</f>
        <v>#VALUE!</v>
      </c>
      <c r="EN25" t="e">
        <f>AND('Application, couselor &amp; other'!J95,"AAAAAFvt348=")</f>
        <v>#VALUE!</v>
      </c>
      <c r="EO25" t="e">
        <f>AND('Application, couselor &amp; other'!K95,"AAAAAFvt35A=")</f>
        <v>#VALUE!</v>
      </c>
      <c r="EP25" t="e">
        <f>AND('Application, couselor &amp; other'!L95,"AAAAAFvt35E=")</f>
        <v>#VALUE!</v>
      </c>
      <c r="EQ25" t="e">
        <f>AND('Application, couselor &amp; other'!M95,"AAAAAFvt35I=")</f>
        <v>#VALUE!</v>
      </c>
      <c r="ER25" t="e">
        <f>AND('Application, couselor &amp; other'!N95,"AAAAAFvt35M=")</f>
        <v>#VALUE!</v>
      </c>
      <c r="ES25">
        <f>IF('Application, couselor &amp; other'!96:96,"AAAAAFvt35Q=",0)</f>
        <v>0</v>
      </c>
      <c r="ET25" t="e">
        <f>AND('Application, couselor &amp; other'!A96,"AAAAAFvt35U=")</f>
        <v>#VALUE!</v>
      </c>
      <c r="EU25" t="e">
        <f>AND('Application, couselor &amp; other'!B96,"AAAAAFvt35Y=")</f>
        <v>#VALUE!</v>
      </c>
      <c r="EV25" t="e">
        <f>AND('Application, couselor &amp; other'!C96,"AAAAAFvt35c=")</f>
        <v>#VALUE!</v>
      </c>
      <c r="EW25" t="e">
        <f>AND('Application, couselor &amp; other'!D96,"AAAAAFvt35g=")</f>
        <v>#VALUE!</v>
      </c>
      <c r="EX25" t="e">
        <f>AND('Application, couselor &amp; other'!E96,"AAAAAFvt35k=")</f>
        <v>#VALUE!</v>
      </c>
      <c r="EY25" t="e">
        <f>AND('Application, couselor &amp; other'!F96,"AAAAAFvt35o=")</f>
        <v>#VALUE!</v>
      </c>
      <c r="EZ25" t="e">
        <f>AND('Application, couselor &amp; other'!G96,"AAAAAFvt35s=")</f>
        <v>#VALUE!</v>
      </c>
      <c r="FA25" t="e">
        <f>AND('Application, couselor &amp; other'!H96,"AAAAAFvt35w=")</f>
        <v>#VALUE!</v>
      </c>
      <c r="FB25" t="e">
        <f>AND('Application, couselor &amp; other'!I96,"AAAAAFvt350=")</f>
        <v>#VALUE!</v>
      </c>
      <c r="FC25" t="e">
        <f>AND('Application, couselor &amp; other'!J96,"AAAAAFvt354=")</f>
        <v>#VALUE!</v>
      </c>
      <c r="FD25" t="e">
        <f>AND('Application, couselor &amp; other'!K96,"AAAAAFvt358=")</f>
        <v>#VALUE!</v>
      </c>
      <c r="FE25" t="e">
        <f>AND('Application, couselor &amp; other'!L96,"AAAAAFvt36A=")</f>
        <v>#VALUE!</v>
      </c>
      <c r="FF25" t="e">
        <f>AND('Application, couselor &amp; other'!M96,"AAAAAFvt36E=")</f>
        <v>#VALUE!</v>
      </c>
      <c r="FG25" t="e">
        <f>AND('Application, couselor &amp; other'!N96,"AAAAAFvt36I=")</f>
        <v>#VALUE!</v>
      </c>
      <c r="FH25">
        <f>IF('Application, couselor &amp; other'!97:97,"AAAAAFvt36M=",0)</f>
        <v>0</v>
      </c>
      <c r="FI25" t="e">
        <f>AND('Application, couselor &amp; other'!A97,"AAAAAFvt36Q=")</f>
        <v>#VALUE!</v>
      </c>
      <c r="FJ25" t="e">
        <f>AND('Application, couselor &amp; other'!B97,"AAAAAFvt36U=")</f>
        <v>#VALUE!</v>
      </c>
      <c r="FK25" t="e">
        <f>AND('Application, couselor &amp; other'!C97,"AAAAAFvt36Y=")</f>
        <v>#VALUE!</v>
      </c>
      <c r="FL25" t="e">
        <f>AND('Application, couselor &amp; other'!D97,"AAAAAFvt36c=")</f>
        <v>#VALUE!</v>
      </c>
      <c r="FM25" t="e">
        <f>AND('Application, couselor &amp; other'!E97,"AAAAAFvt36g=")</f>
        <v>#VALUE!</v>
      </c>
      <c r="FN25" t="e">
        <f>AND('Application, couselor &amp; other'!F97,"AAAAAFvt36k=")</f>
        <v>#VALUE!</v>
      </c>
      <c r="FO25" t="e">
        <f>AND('Application, couselor &amp; other'!G97,"AAAAAFvt36o=")</f>
        <v>#VALUE!</v>
      </c>
      <c r="FP25" t="e">
        <f>AND('Application, couselor &amp; other'!H97,"AAAAAFvt36s=")</f>
        <v>#VALUE!</v>
      </c>
      <c r="FQ25" t="e">
        <f>AND('Application, couselor &amp; other'!I97,"AAAAAFvt36w=")</f>
        <v>#VALUE!</v>
      </c>
      <c r="FR25" t="e">
        <f>AND('Application, couselor &amp; other'!J97,"AAAAAFvt360=")</f>
        <v>#VALUE!</v>
      </c>
      <c r="FS25" t="e">
        <f>AND('Application, couselor &amp; other'!K97,"AAAAAFvt364=")</f>
        <v>#VALUE!</v>
      </c>
      <c r="FT25" t="e">
        <f>AND('Application, couselor &amp; other'!L97,"AAAAAFvt368=")</f>
        <v>#VALUE!</v>
      </c>
      <c r="FU25" t="e">
        <f>AND('Application, couselor &amp; other'!M97,"AAAAAFvt37A=")</f>
        <v>#VALUE!</v>
      </c>
      <c r="FV25" t="e">
        <f>AND('Application, couselor &amp; other'!N97,"AAAAAFvt37E=")</f>
        <v>#VALUE!</v>
      </c>
      <c r="FW25">
        <f>IF('Application, couselor &amp; other'!98:98,"AAAAAFvt37I=",0)</f>
        <v>0</v>
      </c>
      <c r="FX25" t="e">
        <f>AND('Application, couselor &amp; other'!A98,"AAAAAFvt37M=")</f>
        <v>#VALUE!</v>
      </c>
      <c r="FY25">
        <f>IF('Application, couselor &amp; other'!99:99,"AAAAAFvt37Q=",0)</f>
        <v>0</v>
      </c>
      <c r="FZ25" t="e">
        <f>AND('Application, couselor &amp; other'!A99,"AAAAAFvt37U=")</f>
        <v>#VALUE!</v>
      </c>
      <c r="GA25">
        <f>IF('Application, couselor &amp; other'!100:100,"AAAAAFvt37Y=",0)</f>
        <v>0</v>
      </c>
      <c r="GB25" t="e">
        <f>AND('Application, couselor &amp; other'!A100,"AAAAAFvt37c=")</f>
        <v>#VALUE!</v>
      </c>
      <c r="GC25">
        <f>IF('Application, couselor &amp; other'!101:101,"AAAAAFvt37g=",0)</f>
        <v>0</v>
      </c>
      <c r="GD25" t="e">
        <f>AND('Application, couselor &amp; other'!A101,"AAAAAFvt37k=")</f>
        <v>#VALUE!</v>
      </c>
      <c r="GE25">
        <f>IF('Application, couselor &amp; other'!102:102,"AAAAAFvt37o=",0)</f>
        <v>0</v>
      </c>
      <c r="GF25" t="e">
        <f>AND('Application, couselor &amp; other'!A102,"AAAAAFvt37s=")</f>
        <v>#VALUE!</v>
      </c>
      <c r="GG25">
        <f>IF('Application, couselor &amp; other'!103:103,"AAAAAFvt37w=",0)</f>
        <v>0</v>
      </c>
      <c r="GH25" t="e">
        <f>AND('Application, couselor &amp; other'!A103,"AAAAAFvt370=")</f>
        <v>#VALUE!</v>
      </c>
      <c r="GI25">
        <f>IF('Application, couselor &amp; other'!104:104,"AAAAAFvt374=",0)</f>
        <v>0</v>
      </c>
      <c r="GJ25" t="e">
        <f>AND('Application, couselor &amp; other'!A104,"AAAAAFvt378=")</f>
        <v>#VALUE!</v>
      </c>
      <c r="GK25">
        <f>IF('Application, couselor &amp; other'!105:105,"AAAAAFvt38A=",0)</f>
        <v>0</v>
      </c>
      <c r="GL25" t="e">
        <f>AND('Application, couselor &amp; other'!A105,"AAAAAFvt38E=")</f>
        <v>#VALUE!</v>
      </c>
      <c r="GM25">
        <f>IF('Application, couselor &amp; other'!106:106,"AAAAAFvt38I=",0)</f>
        <v>0</v>
      </c>
      <c r="GN25" t="e">
        <f>AND('Application, couselor &amp; other'!A106,"AAAAAFvt38M=")</f>
        <v>#VALUE!</v>
      </c>
      <c r="GO25">
        <f>IF('Application, couselor &amp; other'!107:107,"AAAAAFvt38Q=",0)</f>
        <v>0</v>
      </c>
      <c r="GP25" t="e">
        <f>AND('Application, couselor &amp; other'!A107,"AAAAAFvt38U=")</f>
        <v>#VALUE!</v>
      </c>
      <c r="GQ25">
        <f>IF('Application, couselor &amp; other'!108:108,"AAAAAFvt38Y=",0)</f>
        <v>0</v>
      </c>
      <c r="GR25" t="e">
        <f>AND('Application, couselor &amp; other'!A108,"AAAAAFvt38c=")</f>
        <v>#VALUE!</v>
      </c>
      <c r="GS25">
        <f>IF('Application, couselor &amp; other'!109:109,"AAAAAFvt38g=",0)</f>
        <v>0</v>
      </c>
      <c r="GT25" t="e">
        <f>AND('Application, couselor &amp; other'!A109,"AAAAAFvt38k=")</f>
        <v>#VALUE!</v>
      </c>
      <c r="GU25">
        <f>IF('Application, couselor &amp; other'!110:110,"AAAAAFvt38o=",0)</f>
        <v>0</v>
      </c>
      <c r="GV25" t="e">
        <f>AND('Application, couselor &amp; other'!A110,"AAAAAFvt38s=")</f>
        <v>#VALUE!</v>
      </c>
      <c r="GW25">
        <f>IF('Application, couselor &amp; other'!111:111,"AAAAAFvt38w=",0)</f>
        <v>0</v>
      </c>
      <c r="GX25" t="e">
        <f>AND('Application, couselor &amp; other'!A111,"AAAAAFvt380=")</f>
        <v>#VALUE!</v>
      </c>
      <c r="GY25">
        <f>IF('Application, couselor &amp; other'!112:112,"AAAAAFvt384=",0)</f>
        <v>0</v>
      </c>
      <c r="GZ25" t="e">
        <f>AND('Application, couselor &amp; other'!A112,"AAAAAFvt388=")</f>
        <v>#VALUE!</v>
      </c>
      <c r="HA25">
        <f>IF('Application, couselor &amp; other'!113:113,"AAAAAFvt39A=",0)</f>
        <v>0</v>
      </c>
      <c r="HB25" t="e">
        <f>AND('Application, couselor &amp; other'!A113,"AAAAAFvt39E=")</f>
        <v>#VALUE!</v>
      </c>
      <c r="HC25">
        <f>IF('Application, couselor &amp; other'!114:114,"AAAAAFvt39I=",0)</f>
        <v>0</v>
      </c>
      <c r="HD25" t="e">
        <f>AND('Application, couselor &amp; other'!A114,"AAAAAFvt39M=")</f>
        <v>#VALUE!</v>
      </c>
      <c r="HE25">
        <f>IF('Application, couselor &amp; other'!115:115,"AAAAAFvt39Q=",0)</f>
        <v>0</v>
      </c>
      <c r="HF25" t="e">
        <f>AND('Application, couselor &amp; other'!A115,"AAAAAFvt39U=")</f>
        <v>#VALUE!</v>
      </c>
      <c r="HG25">
        <f>IF('Application, couselor &amp; other'!116:116,"AAAAAFvt39Y=",0)</f>
        <v>0</v>
      </c>
      <c r="HH25" t="e">
        <f>AND('Application, couselor &amp; other'!A116,"AAAAAFvt39c=")</f>
        <v>#VALUE!</v>
      </c>
      <c r="HI25">
        <f>IF('Application, couselor &amp; other'!117:117,"AAAAAFvt39g=",0)</f>
        <v>0</v>
      </c>
      <c r="HJ25" t="e">
        <f>AND('Application, couselor &amp; other'!A117,"AAAAAFvt39k=")</f>
        <v>#VALUE!</v>
      </c>
      <c r="HK25">
        <f>IF('Application, couselor &amp; other'!118:118,"AAAAAFvt39o=",0)</f>
        <v>0</v>
      </c>
      <c r="HL25" t="e">
        <f>AND('Application, couselor &amp; other'!A118,"AAAAAFvt39s=")</f>
        <v>#VALUE!</v>
      </c>
      <c r="HM25">
        <f>IF('Application, couselor &amp; other'!119:119,"AAAAAFvt39w=",0)</f>
        <v>0</v>
      </c>
      <c r="HN25" t="e">
        <f>AND('Application, couselor &amp; other'!A119,"AAAAAFvt390=")</f>
        <v>#VALUE!</v>
      </c>
      <c r="HO25">
        <f>IF('Application, couselor &amp; other'!120:120,"AAAAAFvt394=",0)</f>
        <v>0</v>
      </c>
      <c r="HP25" t="e">
        <f>AND('Application, couselor &amp; other'!A120,"AAAAAFvt398=")</f>
        <v>#VALUE!</v>
      </c>
      <c r="HQ25">
        <f>IF('Application, couselor &amp; other'!121:121,"AAAAAFvt3+A=",0)</f>
        <v>0</v>
      </c>
      <c r="HR25" t="e">
        <f>AND('Application, couselor &amp; other'!A121,"AAAAAFvt3+E=")</f>
        <v>#VALUE!</v>
      </c>
      <c r="HS25">
        <f>IF('Application, couselor &amp; other'!122:122,"AAAAAFvt3+I=",0)</f>
        <v>0</v>
      </c>
      <c r="HT25" t="e">
        <f>AND('Application, couselor &amp; other'!A122,"AAAAAFvt3+M=")</f>
        <v>#VALUE!</v>
      </c>
      <c r="HU25">
        <f>IF('Application, couselor &amp; other'!123:123,"AAAAAFvt3+Q=",0)</f>
        <v>0</v>
      </c>
      <c r="HV25" t="e">
        <f>AND('Application, couselor &amp; other'!A123,"AAAAAFvt3+U=")</f>
        <v>#VALUE!</v>
      </c>
      <c r="HW25">
        <f>IF('Application, couselor &amp; other'!124:124,"AAAAAFvt3+Y=",0)</f>
        <v>0</v>
      </c>
      <c r="HX25" t="e">
        <f>AND('Application, couselor &amp; other'!A124,"AAAAAFvt3+c=")</f>
        <v>#VALUE!</v>
      </c>
      <c r="HY25">
        <f>IF('Application, couselor &amp; other'!125:125,"AAAAAFvt3+g=",0)</f>
        <v>0</v>
      </c>
      <c r="HZ25" t="e">
        <f>AND('Application, couselor &amp; other'!A125,"AAAAAFvt3+k=")</f>
        <v>#VALUE!</v>
      </c>
      <c r="IA25">
        <f>IF('Application, couselor &amp; other'!126:126,"AAAAAFvt3+o=",0)</f>
        <v>0</v>
      </c>
      <c r="IB25" t="e">
        <f>AND('Application, couselor &amp; other'!A126,"AAAAAFvt3+s=")</f>
        <v>#VALUE!</v>
      </c>
      <c r="IC25">
        <f>IF('Application, couselor &amp; other'!127:127,"AAAAAFvt3+w=",0)</f>
        <v>0</v>
      </c>
      <c r="ID25" t="e">
        <f>AND('Application, couselor &amp; other'!A127,"AAAAAFvt3+0=")</f>
        <v>#VALUE!</v>
      </c>
      <c r="IE25">
        <f>IF('Application, couselor &amp; other'!128:128,"AAAAAFvt3+4=",0)</f>
        <v>0</v>
      </c>
      <c r="IF25" t="e">
        <f>AND('Application, couselor &amp; other'!A128,"AAAAAFvt3+8=")</f>
        <v>#VALUE!</v>
      </c>
      <c r="IG25">
        <f>IF('Application, couselor &amp; other'!129:129,"AAAAAFvt3/A=",0)</f>
        <v>0</v>
      </c>
      <c r="IH25" t="e">
        <f>AND('Application, couselor &amp; other'!A129,"AAAAAFvt3/E=")</f>
        <v>#VALUE!</v>
      </c>
      <c r="II25">
        <f>IF('Application, couselor &amp; other'!130:130,"AAAAAFvt3/I=",0)</f>
        <v>0</v>
      </c>
      <c r="IJ25" t="e">
        <f>AND('Application, couselor &amp; other'!A130,"AAAAAFvt3/M=")</f>
        <v>#VALUE!</v>
      </c>
      <c r="IK25">
        <f>IF('Application, couselor &amp; other'!131:131,"AAAAAFvt3/Q=",0)</f>
        <v>0</v>
      </c>
      <c r="IL25" t="e">
        <f>AND('Application, couselor &amp; other'!A131,"AAAAAFvt3/U=")</f>
        <v>#VALUE!</v>
      </c>
      <c r="IM25" t="e">
        <f>IF('Application, couselor &amp; other'!A:A,"AAAAAFvt3/Y=",0)</f>
        <v>#VALUE!</v>
      </c>
      <c r="IN25">
        <f>IF('Application, couselor &amp; other'!B:B,"AAAAAFvt3/c=",0)</f>
        <v>0</v>
      </c>
      <c r="IO25">
        <f>IF('Application, couselor &amp; other'!C:C,"AAAAAFvt3/g=",0)</f>
        <v>0</v>
      </c>
      <c r="IP25">
        <f>IF('Application, couselor &amp; other'!D:D,"AAAAAFvt3/k=",0)</f>
        <v>0</v>
      </c>
      <c r="IQ25">
        <f>IF('Application, couselor &amp; other'!E:E,"AAAAAFvt3/o=",0)</f>
        <v>0</v>
      </c>
      <c r="IR25">
        <f>IF('Application, couselor &amp; other'!F:F,"AAAAAFvt3/s=",0)</f>
        <v>0</v>
      </c>
      <c r="IS25" t="e">
        <f>IF('Application, couselor &amp; other'!G:G,"AAAAAFvt3/w=",0)</f>
        <v>#VALUE!</v>
      </c>
      <c r="IT25">
        <f>IF('Application, couselor &amp; other'!H:H,"AAAAAFvt3/0=",0)</f>
        <v>0</v>
      </c>
      <c r="IU25">
        <f>IF('Application, couselor &amp; other'!I:I,"AAAAAFvt3/4=",0)</f>
        <v>0</v>
      </c>
      <c r="IV25">
        <f>IF('Application, couselor &amp; other'!J:J,"AAAAAFvt3/8=",0)</f>
        <v>0</v>
      </c>
    </row>
    <row r="26" spans="1:256" ht="12.75">
      <c r="A26">
        <f>IF('Application, couselor &amp; other'!K:K,"AAAAAG4/lwA=",0)</f>
        <v>0</v>
      </c>
      <c r="B26">
        <f>IF('Application, couselor &amp; other'!L:L,"AAAAAG4/lwE=",0)</f>
        <v>0</v>
      </c>
      <c r="C26">
        <f>IF('Application, couselor &amp; other'!M:M,"AAAAAG4/lwI=",0)</f>
        <v>0</v>
      </c>
      <c r="D26">
        <f>IF('Application, couselor &amp; other'!N:N,"AAAAAG4/lwM=",0)</f>
        <v>0</v>
      </c>
      <c r="E26">
        <f>IF('Reference Form, Maintenance'!1:1,"AAAAAG4/lwQ=",0)</f>
        <v>0</v>
      </c>
      <c r="F26" t="e">
        <f>AND('Reference Form, Maintenance'!A1,"AAAAAG4/lwU=")</f>
        <v>#VALUE!</v>
      </c>
      <c r="G26" t="e">
        <f>AND('Reference Form, Maintenance'!B1,"AAAAAG4/lwY=")</f>
        <v>#VALUE!</v>
      </c>
      <c r="H26" t="e">
        <f>AND('Reference Form, Maintenance'!C1,"AAAAAG4/lwc=")</f>
        <v>#VALUE!</v>
      </c>
      <c r="I26" t="e">
        <f>AND('Reference Form, Maintenance'!D1,"AAAAAG4/lwg=")</f>
        <v>#VALUE!</v>
      </c>
      <c r="J26" t="e">
        <f>AND('Reference Form, Maintenance'!E1,"AAAAAG4/lwk=")</f>
        <v>#VALUE!</v>
      </c>
      <c r="K26" t="e">
        <f>AND('Reference Form, Maintenance'!F1,"AAAAAG4/lwo=")</f>
        <v>#VALUE!</v>
      </c>
      <c r="L26" t="e">
        <f>AND('Reference Form, Maintenance'!G1,"AAAAAG4/lws=")</f>
        <v>#VALUE!</v>
      </c>
      <c r="M26" t="e">
        <f>AND('Reference Form, Maintenance'!H1,"AAAAAG4/lww=")</f>
        <v>#VALUE!</v>
      </c>
      <c r="N26">
        <f>IF('Reference Form, Maintenance'!2:2,"AAAAAG4/lw0=",0)</f>
        <v>0</v>
      </c>
      <c r="O26" t="e">
        <f>AND('Reference Form, Maintenance'!A2,"AAAAAG4/lw4=")</f>
        <v>#VALUE!</v>
      </c>
      <c r="P26" t="e">
        <f>AND('Reference Form, Maintenance'!B2,"AAAAAG4/lw8=")</f>
        <v>#VALUE!</v>
      </c>
      <c r="Q26" t="e">
        <f>AND('Reference Form, Maintenance'!C2,"AAAAAG4/lxA=")</f>
        <v>#VALUE!</v>
      </c>
      <c r="R26" t="e">
        <f>AND('Reference Form, Maintenance'!D2,"AAAAAG4/lxE=")</f>
        <v>#VALUE!</v>
      </c>
      <c r="S26" t="e">
        <f>AND('Reference Form, Maintenance'!E2,"AAAAAG4/lxI=")</f>
        <v>#VALUE!</v>
      </c>
      <c r="T26" t="e">
        <f>AND('Reference Form, Maintenance'!F2,"AAAAAG4/lxM=")</f>
        <v>#VALUE!</v>
      </c>
      <c r="U26" t="e">
        <f>AND('Reference Form, Maintenance'!G2,"AAAAAG4/lxQ=")</f>
        <v>#VALUE!</v>
      </c>
      <c r="V26" t="e">
        <f>AND('Reference Form, Maintenance'!H2,"AAAAAG4/lxU=")</f>
        <v>#VALUE!</v>
      </c>
      <c r="W26">
        <f>IF('Reference Form, Maintenance'!3:3,"AAAAAG4/lxY=",0)</f>
        <v>0</v>
      </c>
      <c r="X26" t="e">
        <f>AND('Reference Form, Maintenance'!A3,"AAAAAG4/lxc=")</f>
        <v>#VALUE!</v>
      </c>
      <c r="Y26" t="e">
        <f>AND('Reference Form, Maintenance'!B3,"AAAAAG4/lxg=")</f>
        <v>#VALUE!</v>
      </c>
      <c r="Z26" t="e">
        <f>AND('Reference Form, Maintenance'!C3,"AAAAAG4/lxk=")</f>
        <v>#VALUE!</v>
      </c>
      <c r="AA26" t="e">
        <f>AND('Reference Form, Maintenance'!D3,"AAAAAG4/lxo=")</f>
        <v>#VALUE!</v>
      </c>
      <c r="AB26" t="e">
        <f>AND('Reference Form, Maintenance'!E3,"AAAAAG4/lxs=")</f>
        <v>#VALUE!</v>
      </c>
      <c r="AC26" t="e">
        <f>AND('Reference Form, Maintenance'!F3,"AAAAAG4/lxw=")</f>
        <v>#VALUE!</v>
      </c>
      <c r="AD26" t="e">
        <f>AND('Reference Form, Maintenance'!G3,"AAAAAG4/lx0=")</f>
        <v>#VALUE!</v>
      </c>
      <c r="AE26" t="e">
        <f>AND('Reference Form, Maintenance'!H3,"AAAAAG4/lx4=")</f>
        <v>#VALUE!</v>
      </c>
      <c r="AF26">
        <f>IF('Reference Form, Maintenance'!4:4,"AAAAAG4/lx8=",0)</f>
        <v>0</v>
      </c>
      <c r="AG26" t="e">
        <f>AND('Reference Form, Maintenance'!A4,"AAAAAG4/lyA=")</f>
        <v>#VALUE!</v>
      </c>
      <c r="AH26" t="e">
        <f>AND('Reference Form, Maintenance'!B4,"AAAAAG4/lyE=")</f>
        <v>#VALUE!</v>
      </c>
      <c r="AI26" t="e">
        <f>AND('Reference Form, Maintenance'!C4,"AAAAAG4/lyI=")</f>
        <v>#VALUE!</v>
      </c>
      <c r="AJ26" t="e">
        <f>AND('Reference Form, Maintenance'!D4,"AAAAAG4/lyM=")</f>
        <v>#VALUE!</v>
      </c>
      <c r="AK26" t="e">
        <f>AND('Reference Form, Maintenance'!E4,"AAAAAG4/lyQ=")</f>
        <v>#VALUE!</v>
      </c>
      <c r="AL26" t="e">
        <f>AND('Reference Form, Maintenance'!F4,"AAAAAG4/lyU=")</f>
        <v>#VALUE!</v>
      </c>
      <c r="AM26" t="e">
        <f>AND('Reference Form, Maintenance'!G4,"AAAAAG4/lyY=")</f>
        <v>#VALUE!</v>
      </c>
      <c r="AN26" t="e">
        <f>AND('Reference Form, Maintenance'!H4,"AAAAAG4/lyc=")</f>
        <v>#VALUE!</v>
      </c>
      <c r="AO26">
        <f>IF('Reference Form, Maintenance'!5:5,"AAAAAG4/lyg=",0)</f>
        <v>0</v>
      </c>
      <c r="AP26" t="e">
        <f>AND('Reference Form, Maintenance'!A5,"AAAAAG4/lyk=")</f>
        <v>#VALUE!</v>
      </c>
      <c r="AQ26" t="e">
        <f>AND('Reference Form, Maintenance'!B5,"AAAAAG4/lyo=")</f>
        <v>#VALUE!</v>
      </c>
      <c r="AR26" t="e">
        <f>AND('Reference Form, Maintenance'!C5,"AAAAAG4/lys=")</f>
        <v>#VALUE!</v>
      </c>
      <c r="AS26" t="e">
        <f>AND('Reference Form, Maintenance'!D5,"AAAAAG4/lyw=")</f>
        <v>#VALUE!</v>
      </c>
      <c r="AT26" t="e">
        <f>AND('Reference Form, Maintenance'!E5,"AAAAAG4/ly0=")</f>
        <v>#VALUE!</v>
      </c>
      <c r="AU26" t="e">
        <f>AND('Reference Form, Maintenance'!F5,"AAAAAG4/ly4=")</f>
        <v>#VALUE!</v>
      </c>
      <c r="AV26" t="e">
        <f>AND('Reference Form, Maintenance'!G5,"AAAAAG4/ly8=")</f>
        <v>#VALUE!</v>
      </c>
      <c r="AW26" t="e">
        <f>AND('Reference Form, Maintenance'!H5,"AAAAAG4/lzA=")</f>
        <v>#VALUE!</v>
      </c>
      <c r="AX26">
        <f>IF('Reference Form, Maintenance'!6:6,"AAAAAG4/lzE=",0)</f>
        <v>0</v>
      </c>
      <c r="AY26" t="e">
        <f>AND('Reference Form, Maintenance'!A6,"AAAAAG4/lzI=")</f>
        <v>#VALUE!</v>
      </c>
      <c r="AZ26" t="e">
        <f>AND('Reference Form, Maintenance'!B6,"AAAAAG4/lzM=")</f>
        <v>#VALUE!</v>
      </c>
      <c r="BA26" t="e">
        <f>AND('Reference Form, Maintenance'!C6,"AAAAAG4/lzQ=")</f>
        <v>#VALUE!</v>
      </c>
      <c r="BB26" t="e">
        <f>AND('Reference Form, Maintenance'!D6,"AAAAAG4/lzU=")</f>
        <v>#VALUE!</v>
      </c>
      <c r="BC26" t="e">
        <f>AND('Reference Form, Maintenance'!E6,"AAAAAG4/lzY=")</f>
        <v>#VALUE!</v>
      </c>
      <c r="BD26" t="e">
        <f>AND('Reference Form, Maintenance'!F6,"AAAAAG4/lzc=")</f>
        <v>#VALUE!</v>
      </c>
      <c r="BE26" t="e">
        <f>AND('Reference Form, Maintenance'!G6,"AAAAAG4/lzg=")</f>
        <v>#VALUE!</v>
      </c>
      <c r="BF26" t="e">
        <f>AND('Reference Form, Maintenance'!H6,"AAAAAG4/lzk=")</f>
        <v>#VALUE!</v>
      </c>
      <c r="BG26">
        <f>IF('Reference Form, Maintenance'!7:7,"AAAAAG4/lzo=",0)</f>
        <v>0</v>
      </c>
      <c r="BH26" t="e">
        <f>AND('Reference Form, Maintenance'!A7,"AAAAAG4/lzs=")</f>
        <v>#VALUE!</v>
      </c>
      <c r="BI26" t="e">
        <f>AND('Reference Form, Maintenance'!B7,"AAAAAG4/lzw=")</f>
        <v>#VALUE!</v>
      </c>
      <c r="BJ26" t="e">
        <f>AND('Reference Form, Maintenance'!C7,"AAAAAG4/lz0=")</f>
        <v>#VALUE!</v>
      </c>
      <c r="BK26" t="e">
        <f>AND('Reference Form, Maintenance'!D7,"AAAAAG4/lz4=")</f>
        <v>#VALUE!</v>
      </c>
      <c r="BL26" t="e">
        <f>AND('Reference Form, Maintenance'!E7,"AAAAAG4/lz8=")</f>
        <v>#VALUE!</v>
      </c>
      <c r="BM26" t="e">
        <f>AND('Reference Form, Maintenance'!F7,"AAAAAG4/l0A=")</f>
        <v>#VALUE!</v>
      </c>
      <c r="BN26" t="e">
        <f>AND('Reference Form, Maintenance'!G7,"AAAAAG4/l0E=")</f>
        <v>#VALUE!</v>
      </c>
      <c r="BO26" t="e">
        <f>AND('Reference Form, Maintenance'!H7,"AAAAAG4/l0I=")</f>
        <v>#VALUE!</v>
      </c>
      <c r="BP26">
        <f>IF('Reference Form, Maintenance'!8:8,"AAAAAG4/l0M=",0)</f>
        <v>0</v>
      </c>
      <c r="BQ26" t="e">
        <f>AND('Reference Form, Maintenance'!A8,"AAAAAG4/l0Q=")</f>
        <v>#VALUE!</v>
      </c>
      <c r="BR26" t="e">
        <f>AND('Reference Form, Maintenance'!B8,"AAAAAG4/l0U=")</f>
        <v>#VALUE!</v>
      </c>
      <c r="BS26" t="e">
        <f>AND('Reference Form, Maintenance'!C8,"AAAAAG4/l0Y=")</f>
        <v>#VALUE!</v>
      </c>
      <c r="BT26" t="e">
        <f>AND('Reference Form, Maintenance'!D8,"AAAAAG4/l0c=")</f>
        <v>#VALUE!</v>
      </c>
      <c r="BU26" t="e">
        <f>AND('Reference Form, Maintenance'!E8,"AAAAAG4/l0g=")</f>
        <v>#VALUE!</v>
      </c>
      <c r="BV26" t="e">
        <f>AND('Reference Form, Maintenance'!F8,"AAAAAG4/l0k=")</f>
        <v>#VALUE!</v>
      </c>
      <c r="BW26" t="e">
        <f>AND('Reference Form, Maintenance'!G8,"AAAAAG4/l0o=")</f>
        <v>#VALUE!</v>
      </c>
      <c r="BX26" t="e">
        <f>AND('Reference Form, Maintenance'!H8,"AAAAAG4/l0s=")</f>
        <v>#VALUE!</v>
      </c>
      <c r="BY26">
        <f>IF('Reference Form, Maintenance'!9:9,"AAAAAG4/l0w=",0)</f>
        <v>0</v>
      </c>
      <c r="BZ26" t="e">
        <f>AND('Reference Form, Maintenance'!A9,"AAAAAG4/l00=")</f>
        <v>#VALUE!</v>
      </c>
      <c r="CA26" t="e">
        <f>AND('Reference Form, Maintenance'!B9,"AAAAAG4/l04=")</f>
        <v>#VALUE!</v>
      </c>
      <c r="CB26" t="e">
        <f>AND('Reference Form, Maintenance'!C9,"AAAAAG4/l08=")</f>
        <v>#VALUE!</v>
      </c>
      <c r="CC26" t="e">
        <f>AND('Reference Form, Maintenance'!D9,"AAAAAG4/l1A=")</f>
        <v>#VALUE!</v>
      </c>
      <c r="CD26" t="e">
        <f>AND('Reference Form, Maintenance'!E9,"AAAAAG4/l1E=")</f>
        <v>#VALUE!</v>
      </c>
      <c r="CE26" t="e">
        <f>AND('Reference Form, Maintenance'!F9,"AAAAAG4/l1I=")</f>
        <v>#VALUE!</v>
      </c>
      <c r="CF26" t="e">
        <f>AND('Reference Form, Maintenance'!G9,"AAAAAG4/l1M=")</f>
        <v>#VALUE!</v>
      </c>
      <c r="CG26" t="e">
        <f>AND('Reference Form, Maintenance'!H9,"AAAAAG4/l1Q=")</f>
        <v>#VALUE!</v>
      </c>
      <c r="CH26">
        <f>IF('Reference Form, Maintenance'!10:10,"AAAAAG4/l1U=",0)</f>
        <v>0</v>
      </c>
      <c r="CI26" t="e">
        <f>AND('Reference Form, Maintenance'!A10,"AAAAAG4/l1Y=")</f>
        <v>#VALUE!</v>
      </c>
      <c r="CJ26" t="e">
        <f>AND('Reference Form, Maintenance'!B10,"AAAAAG4/l1c=")</f>
        <v>#VALUE!</v>
      </c>
      <c r="CK26" t="e">
        <f>AND('Reference Form, Maintenance'!C10,"AAAAAG4/l1g=")</f>
        <v>#VALUE!</v>
      </c>
      <c r="CL26" t="e">
        <f>AND('Reference Form, Maintenance'!D10,"AAAAAG4/l1k=")</f>
        <v>#VALUE!</v>
      </c>
      <c r="CM26" t="e">
        <f>AND('Reference Form, Maintenance'!E10,"AAAAAG4/l1o=")</f>
        <v>#VALUE!</v>
      </c>
      <c r="CN26" t="e">
        <f>AND('Reference Form, Maintenance'!F10,"AAAAAG4/l1s=")</f>
        <v>#VALUE!</v>
      </c>
      <c r="CO26" t="e">
        <f>AND('Reference Form, Maintenance'!G10,"AAAAAG4/l1w=")</f>
        <v>#VALUE!</v>
      </c>
      <c r="CP26" t="e">
        <f>AND('Reference Form, Maintenance'!H10,"AAAAAG4/l10=")</f>
        <v>#VALUE!</v>
      </c>
      <c r="CQ26">
        <f>IF('Reference Form, Maintenance'!11:11,"AAAAAG4/l14=",0)</f>
        <v>0</v>
      </c>
      <c r="CR26" t="e">
        <f>AND('Reference Form, Maintenance'!A11,"AAAAAG4/l18=")</f>
        <v>#VALUE!</v>
      </c>
      <c r="CS26" t="e">
        <f>AND('Reference Form, Maintenance'!B11,"AAAAAG4/l2A=")</f>
        <v>#VALUE!</v>
      </c>
      <c r="CT26" t="e">
        <f>AND('Reference Form, Maintenance'!C11,"AAAAAG4/l2E=")</f>
        <v>#VALUE!</v>
      </c>
      <c r="CU26" t="e">
        <f>AND('Reference Form, Maintenance'!D11,"AAAAAG4/l2I=")</f>
        <v>#VALUE!</v>
      </c>
      <c r="CV26" t="e">
        <f>AND('Reference Form, Maintenance'!E11,"AAAAAG4/l2M=")</f>
        <v>#VALUE!</v>
      </c>
      <c r="CW26" t="e">
        <f>AND('Reference Form, Maintenance'!F11,"AAAAAG4/l2Q=")</f>
        <v>#VALUE!</v>
      </c>
      <c r="CX26" t="e">
        <f>AND('Reference Form, Maintenance'!G11,"AAAAAG4/l2U=")</f>
        <v>#VALUE!</v>
      </c>
      <c r="CY26" t="e">
        <f>AND('Reference Form, Maintenance'!H11,"AAAAAG4/l2Y=")</f>
        <v>#VALUE!</v>
      </c>
      <c r="CZ26">
        <f>IF('Reference Form, Maintenance'!12:12,"AAAAAG4/l2c=",0)</f>
        <v>0</v>
      </c>
      <c r="DA26" t="e">
        <f>AND('Reference Form, Maintenance'!A12,"AAAAAG4/l2g=")</f>
        <v>#VALUE!</v>
      </c>
      <c r="DB26" t="e">
        <f>AND('Reference Form, Maintenance'!B12,"AAAAAG4/l2k=")</f>
        <v>#VALUE!</v>
      </c>
      <c r="DC26" t="e">
        <f>AND('Reference Form, Maintenance'!C12,"AAAAAG4/l2o=")</f>
        <v>#VALUE!</v>
      </c>
      <c r="DD26" t="e">
        <f>AND('Reference Form, Maintenance'!D12,"AAAAAG4/l2s=")</f>
        <v>#VALUE!</v>
      </c>
      <c r="DE26" t="e">
        <f>AND('Reference Form, Maintenance'!E12,"AAAAAG4/l2w=")</f>
        <v>#VALUE!</v>
      </c>
      <c r="DF26" t="e">
        <f>AND('Reference Form, Maintenance'!F12,"AAAAAG4/l20=")</f>
        <v>#VALUE!</v>
      </c>
      <c r="DG26" t="e">
        <f>AND('Reference Form, Maintenance'!G12,"AAAAAG4/l24=")</f>
        <v>#VALUE!</v>
      </c>
      <c r="DH26" t="e">
        <f>AND('Reference Form, Maintenance'!H12,"AAAAAG4/l28=")</f>
        <v>#VALUE!</v>
      </c>
      <c r="DI26">
        <f>IF('Reference Form, Maintenance'!13:13,"AAAAAG4/l3A=",0)</f>
        <v>0</v>
      </c>
      <c r="DJ26" t="e">
        <f>AND('Reference Form, Maintenance'!A13,"AAAAAG4/l3E=")</f>
        <v>#VALUE!</v>
      </c>
      <c r="DK26" t="e">
        <f>AND('Reference Form, Maintenance'!B13,"AAAAAG4/l3I=")</f>
        <v>#VALUE!</v>
      </c>
      <c r="DL26" t="e">
        <f>AND('Reference Form, Maintenance'!C13,"AAAAAG4/l3M=")</f>
        <v>#VALUE!</v>
      </c>
      <c r="DM26" t="e">
        <f>AND('Reference Form, Maintenance'!D13,"AAAAAG4/l3Q=")</f>
        <v>#VALUE!</v>
      </c>
      <c r="DN26" t="e">
        <f>AND('Reference Form, Maintenance'!E13,"AAAAAG4/l3U=")</f>
        <v>#VALUE!</v>
      </c>
      <c r="DO26" t="e">
        <f>AND('Reference Form, Maintenance'!F13,"AAAAAG4/l3Y=")</f>
        <v>#VALUE!</v>
      </c>
      <c r="DP26" t="e">
        <f>AND('Reference Form, Maintenance'!G13,"AAAAAG4/l3c=")</f>
        <v>#VALUE!</v>
      </c>
      <c r="DQ26" t="e">
        <f>AND('Reference Form, Maintenance'!H13,"AAAAAG4/l3g=")</f>
        <v>#VALUE!</v>
      </c>
      <c r="DR26">
        <f>IF('Reference Form, Maintenance'!14:14,"AAAAAG4/l3k=",0)</f>
        <v>0</v>
      </c>
      <c r="DS26" t="e">
        <f>AND('Reference Form, Maintenance'!A14,"AAAAAG4/l3o=")</f>
        <v>#VALUE!</v>
      </c>
      <c r="DT26" t="e">
        <f>AND('Reference Form, Maintenance'!B14,"AAAAAG4/l3s=")</f>
        <v>#VALUE!</v>
      </c>
      <c r="DU26" t="e">
        <f>AND('Reference Form, Maintenance'!C14,"AAAAAG4/l3w=")</f>
        <v>#VALUE!</v>
      </c>
      <c r="DV26" t="e">
        <f>AND('Reference Form, Maintenance'!D14,"AAAAAG4/l30=")</f>
        <v>#VALUE!</v>
      </c>
      <c r="DW26" t="e">
        <f>AND('Reference Form, Maintenance'!E14,"AAAAAG4/l34=")</f>
        <v>#VALUE!</v>
      </c>
      <c r="DX26" t="e">
        <f>AND('Reference Form, Maintenance'!F14,"AAAAAG4/l38=")</f>
        <v>#VALUE!</v>
      </c>
      <c r="DY26" t="e">
        <f>AND('Reference Form, Maintenance'!G14,"AAAAAG4/l4A=")</f>
        <v>#VALUE!</v>
      </c>
      <c r="DZ26" t="e">
        <f>AND('Reference Form, Maintenance'!H14,"AAAAAG4/l4E=")</f>
        <v>#VALUE!</v>
      </c>
      <c r="EA26">
        <f>IF('Reference Form, Maintenance'!15:15,"AAAAAG4/l4I=",0)</f>
        <v>0</v>
      </c>
      <c r="EB26" t="e">
        <f>AND('Reference Form, Maintenance'!A15,"AAAAAG4/l4M=")</f>
        <v>#VALUE!</v>
      </c>
      <c r="EC26" t="e">
        <f>AND('Reference Form, Maintenance'!B15,"AAAAAG4/l4Q=")</f>
        <v>#VALUE!</v>
      </c>
      <c r="ED26" t="e">
        <f>AND('Reference Form, Maintenance'!C15,"AAAAAG4/l4U=")</f>
        <v>#VALUE!</v>
      </c>
      <c r="EE26" t="e">
        <f>AND('Reference Form, Maintenance'!D15,"AAAAAG4/l4Y=")</f>
        <v>#VALUE!</v>
      </c>
      <c r="EF26" t="e">
        <f>AND('Reference Form, Maintenance'!E15,"AAAAAG4/l4c=")</f>
        <v>#VALUE!</v>
      </c>
      <c r="EG26" t="e">
        <f>AND('Reference Form, Maintenance'!F15,"AAAAAG4/l4g=")</f>
        <v>#VALUE!</v>
      </c>
      <c r="EH26" t="e">
        <f>AND('Reference Form, Maintenance'!G15,"AAAAAG4/l4k=")</f>
        <v>#VALUE!</v>
      </c>
      <c r="EI26" t="e">
        <f>AND('Reference Form, Maintenance'!H15,"AAAAAG4/l4o=")</f>
        <v>#VALUE!</v>
      </c>
      <c r="EJ26">
        <f>IF('Reference Form, Maintenance'!16:16,"AAAAAG4/l4s=",0)</f>
        <v>0</v>
      </c>
      <c r="EK26" t="e">
        <f>AND('Reference Form, Maintenance'!A16,"AAAAAG4/l4w=")</f>
        <v>#VALUE!</v>
      </c>
      <c r="EL26" t="e">
        <f>AND('Reference Form, Maintenance'!B16,"AAAAAG4/l40=")</f>
        <v>#VALUE!</v>
      </c>
      <c r="EM26" t="e">
        <f>AND('Reference Form, Maintenance'!C16,"AAAAAG4/l44=")</f>
        <v>#VALUE!</v>
      </c>
      <c r="EN26" t="e">
        <f>AND('Reference Form, Maintenance'!D16,"AAAAAG4/l48=")</f>
        <v>#VALUE!</v>
      </c>
      <c r="EO26" t="e">
        <f>AND('Reference Form, Maintenance'!E16,"AAAAAG4/l5A=")</f>
        <v>#VALUE!</v>
      </c>
      <c r="EP26" t="e">
        <f>AND('Reference Form, Maintenance'!F16,"AAAAAG4/l5E=")</f>
        <v>#VALUE!</v>
      </c>
      <c r="EQ26" t="e">
        <f>AND('Reference Form, Maintenance'!G16,"AAAAAG4/l5I=")</f>
        <v>#VALUE!</v>
      </c>
      <c r="ER26" t="e">
        <f>AND('Reference Form, Maintenance'!H16,"AAAAAG4/l5M=")</f>
        <v>#VALUE!</v>
      </c>
      <c r="ES26">
        <f>IF('Reference Form, Maintenance'!17:17,"AAAAAG4/l5Q=",0)</f>
        <v>0</v>
      </c>
      <c r="ET26" t="e">
        <f>AND('Reference Form, Maintenance'!A17,"AAAAAG4/l5U=")</f>
        <v>#VALUE!</v>
      </c>
      <c r="EU26" t="e">
        <f>AND('Reference Form, Maintenance'!B17,"AAAAAG4/l5Y=")</f>
        <v>#VALUE!</v>
      </c>
      <c r="EV26" t="e">
        <f>AND('Reference Form, Maintenance'!C17,"AAAAAG4/l5c=")</f>
        <v>#VALUE!</v>
      </c>
      <c r="EW26" t="e">
        <f>AND('Reference Form, Maintenance'!D17,"AAAAAG4/l5g=")</f>
        <v>#VALUE!</v>
      </c>
      <c r="EX26" t="e">
        <f>AND('Reference Form, Maintenance'!E17,"AAAAAG4/l5k=")</f>
        <v>#VALUE!</v>
      </c>
      <c r="EY26" t="e">
        <f>AND('Reference Form, Maintenance'!F17,"AAAAAG4/l5o=")</f>
        <v>#VALUE!</v>
      </c>
      <c r="EZ26" t="e">
        <f>AND('Reference Form, Maintenance'!G17,"AAAAAG4/l5s=")</f>
        <v>#VALUE!</v>
      </c>
      <c r="FA26" t="e">
        <f>AND('Reference Form, Maintenance'!H17,"AAAAAG4/l5w=")</f>
        <v>#VALUE!</v>
      </c>
      <c r="FB26">
        <f>IF('Reference Form, Maintenance'!18:18,"AAAAAG4/l50=",0)</f>
        <v>0</v>
      </c>
      <c r="FC26" t="e">
        <f>AND('Reference Form, Maintenance'!A18,"AAAAAG4/l54=")</f>
        <v>#VALUE!</v>
      </c>
      <c r="FD26" t="e">
        <f>AND('Reference Form, Maintenance'!B18,"AAAAAG4/l58=")</f>
        <v>#VALUE!</v>
      </c>
      <c r="FE26" t="e">
        <f>AND('Reference Form, Maintenance'!C18,"AAAAAG4/l6A=")</f>
        <v>#VALUE!</v>
      </c>
      <c r="FF26" t="e">
        <f>AND('Reference Form, Maintenance'!D18,"AAAAAG4/l6E=")</f>
        <v>#VALUE!</v>
      </c>
      <c r="FG26" t="e">
        <f>AND('Reference Form, Maintenance'!E18,"AAAAAG4/l6I=")</f>
        <v>#VALUE!</v>
      </c>
      <c r="FH26" t="e">
        <f>AND('Reference Form, Maintenance'!F18,"AAAAAG4/l6M=")</f>
        <v>#VALUE!</v>
      </c>
      <c r="FI26" t="e">
        <f>AND('Reference Form, Maintenance'!G18,"AAAAAG4/l6Q=")</f>
        <v>#VALUE!</v>
      </c>
      <c r="FJ26" t="e">
        <f>AND('Reference Form, Maintenance'!H18,"AAAAAG4/l6U=")</f>
        <v>#VALUE!</v>
      </c>
      <c r="FK26">
        <f>IF('Reference Form, Maintenance'!19:19,"AAAAAG4/l6Y=",0)</f>
        <v>0</v>
      </c>
      <c r="FL26" t="e">
        <f>AND('Reference Form, Maintenance'!A19,"AAAAAG4/l6c=")</f>
        <v>#VALUE!</v>
      </c>
      <c r="FM26" t="e">
        <f>AND('Reference Form, Maintenance'!B19,"AAAAAG4/l6g=")</f>
        <v>#VALUE!</v>
      </c>
      <c r="FN26" t="e">
        <f>AND('Reference Form, Maintenance'!C19,"AAAAAG4/l6k=")</f>
        <v>#VALUE!</v>
      </c>
      <c r="FO26" t="e">
        <f>AND('Reference Form, Maintenance'!D19,"AAAAAG4/l6o=")</f>
        <v>#VALUE!</v>
      </c>
      <c r="FP26" t="e">
        <f>AND('Reference Form, Maintenance'!E19,"AAAAAG4/l6s=")</f>
        <v>#VALUE!</v>
      </c>
      <c r="FQ26" t="e">
        <f>AND('Reference Form, Maintenance'!F19,"AAAAAG4/l6w=")</f>
        <v>#VALUE!</v>
      </c>
      <c r="FR26" t="e">
        <f>AND('Reference Form, Maintenance'!G19,"AAAAAG4/l60=")</f>
        <v>#VALUE!</v>
      </c>
      <c r="FS26" t="e">
        <f>AND('Reference Form, Maintenance'!H19,"AAAAAG4/l64=")</f>
        <v>#VALUE!</v>
      </c>
      <c r="FT26">
        <f>IF('Reference Form, Maintenance'!20:20,"AAAAAG4/l68=",0)</f>
        <v>0</v>
      </c>
      <c r="FU26" t="e">
        <f>AND('Reference Form, Maintenance'!A20,"AAAAAG4/l7A=")</f>
        <v>#VALUE!</v>
      </c>
      <c r="FV26" t="e">
        <f>AND('Reference Form, Maintenance'!B20,"AAAAAG4/l7E=")</f>
        <v>#VALUE!</v>
      </c>
      <c r="FW26" t="e">
        <f>AND('Reference Form, Maintenance'!C20,"AAAAAG4/l7I=")</f>
        <v>#VALUE!</v>
      </c>
      <c r="FX26" t="e">
        <f>AND('Reference Form, Maintenance'!D20,"AAAAAG4/l7M=")</f>
        <v>#VALUE!</v>
      </c>
      <c r="FY26" t="e">
        <f>AND('Reference Form, Maintenance'!E20,"AAAAAG4/l7Q=")</f>
        <v>#VALUE!</v>
      </c>
      <c r="FZ26" t="e">
        <f>AND('Reference Form, Maintenance'!F20,"AAAAAG4/l7U=")</f>
        <v>#VALUE!</v>
      </c>
      <c r="GA26" t="e">
        <f>AND('Reference Form, Maintenance'!G20,"AAAAAG4/l7Y=")</f>
        <v>#VALUE!</v>
      </c>
      <c r="GB26" t="e">
        <f>AND('Reference Form, Maintenance'!H20,"AAAAAG4/l7c=")</f>
        <v>#VALUE!</v>
      </c>
      <c r="GC26">
        <f>IF('Reference Form, Maintenance'!21:21,"AAAAAG4/l7g=",0)</f>
        <v>0</v>
      </c>
      <c r="GD26" t="e">
        <f>AND('Reference Form, Maintenance'!A21,"AAAAAG4/l7k=")</f>
        <v>#VALUE!</v>
      </c>
      <c r="GE26" t="e">
        <f>AND('Reference Form, Maintenance'!B21,"AAAAAG4/l7o=")</f>
        <v>#VALUE!</v>
      </c>
      <c r="GF26" t="e">
        <f>AND('Reference Form, Maintenance'!C21,"AAAAAG4/l7s=")</f>
        <v>#VALUE!</v>
      </c>
      <c r="GG26" t="e">
        <f>AND('Reference Form, Maintenance'!D21,"AAAAAG4/l7w=")</f>
        <v>#VALUE!</v>
      </c>
      <c r="GH26" t="e">
        <f>AND('Reference Form, Maintenance'!E21,"AAAAAG4/l70=")</f>
        <v>#VALUE!</v>
      </c>
      <c r="GI26" t="e">
        <f>AND('Reference Form, Maintenance'!F21,"AAAAAG4/l74=")</f>
        <v>#VALUE!</v>
      </c>
      <c r="GJ26" t="e">
        <f>AND('Reference Form, Maintenance'!G21,"AAAAAG4/l78=")</f>
        <v>#VALUE!</v>
      </c>
      <c r="GK26" t="e">
        <f>AND('Reference Form, Maintenance'!H21,"AAAAAG4/l8A=")</f>
        <v>#VALUE!</v>
      </c>
      <c r="GL26">
        <f>IF('Reference Form, Maintenance'!22:22,"AAAAAG4/l8E=",0)</f>
        <v>0</v>
      </c>
      <c r="GM26" t="e">
        <f>AND('Reference Form, Maintenance'!A22,"AAAAAG4/l8I=")</f>
        <v>#VALUE!</v>
      </c>
      <c r="GN26" t="e">
        <f>AND('Reference Form, Maintenance'!B22,"AAAAAG4/l8M=")</f>
        <v>#VALUE!</v>
      </c>
      <c r="GO26" t="e">
        <f>AND('Reference Form, Maintenance'!C22,"AAAAAG4/l8Q=")</f>
        <v>#VALUE!</v>
      </c>
      <c r="GP26" t="e">
        <f>AND('Reference Form, Maintenance'!D22,"AAAAAG4/l8U=")</f>
        <v>#VALUE!</v>
      </c>
      <c r="GQ26" t="e">
        <f>AND('Reference Form, Maintenance'!E22,"AAAAAG4/l8Y=")</f>
        <v>#VALUE!</v>
      </c>
      <c r="GR26" t="e">
        <f>AND('Reference Form, Maintenance'!F22,"AAAAAG4/l8c=")</f>
        <v>#VALUE!</v>
      </c>
      <c r="GS26" t="e">
        <f>AND('Reference Form, Maintenance'!G22,"AAAAAG4/l8g=")</f>
        <v>#VALUE!</v>
      </c>
      <c r="GT26" t="e">
        <f>AND('Reference Form, Maintenance'!H22,"AAAAAG4/l8k=")</f>
        <v>#VALUE!</v>
      </c>
      <c r="GU26">
        <f>IF('Reference Form, Maintenance'!23:23,"AAAAAG4/l8o=",0)</f>
        <v>0</v>
      </c>
      <c r="GV26" t="e">
        <f>AND('Reference Form, Maintenance'!A23,"AAAAAG4/l8s=")</f>
        <v>#VALUE!</v>
      </c>
      <c r="GW26" t="e">
        <f>AND('Reference Form, Maintenance'!B23,"AAAAAG4/l8w=")</f>
        <v>#VALUE!</v>
      </c>
      <c r="GX26" t="e">
        <f>AND('Reference Form, Maintenance'!C23,"AAAAAG4/l80=")</f>
        <v>#VALUE!</v>
      </c>
      <c r="GY26" t="e">
        <f>AND('Reference Form, Maintenance'!D23,"AAAAAG4/l84=")</f>
        <v>#VALUE!</v>
      </c>
      <c r="GZ26" t="e">
        <f>AND('Reference Form, Maintenance'!E23,"AAAAAG4/l88=")</f>
        <v>#VALUE!</v>
      </c>
      <c r="HA26" t="e">
        <f>AND('Reference Form, Maintenance'!F23,"AAAAAG4/l9A=")</f>
        <v>#VALUE!</v>
      </c>
      <c r="HB26" t="e">
        <f>AND('Reference Form, Maintenance'!G23,"AAAAAG4/l9E=")</f>
        <v>#VALUE!</v>
      </c>
      <c r="HC26" t="e">
        <f>AND('Reference Form, Maintenance'!H23,"AAAAAG4/l9I=")</f>
        <v>#VALUE!</v>
      </c>
      <c r="HD26">
        <f>IF('Reference Form, Maintenance'!24:24,"AAAAAG4/l9M=",0)</f>
        <v>0</v>
      </c>
      <c r="HE26" t="e">
        <f>AND('Reference Form, Maintenance'!A24,"AAAAAG4/l9Q=")</f>
        <v>#VALUE!</v>
      </c>
      <c r="HF26" t="e">
        <f>AND('Reference Form, Maintenance'!B24,"AAAAAG4/l9U=")</f>
        <v>#VALUE!</v>
      </c>
      <c r="HG26" t="e">
        <f>AND('Reference Form, Maintenance'!C24,"AAAAAG4/l9Y=")</f>
        <v>#VALUE!</v>
      </c>
      <c r="HH26" t="e">
        <f>AND('Reference Form, Maintenance'!D24,"AAAAAG4/l9c=")</f>
        <v>#VALUE!</v>
      </c>
      <c r="HI26" t="e">
        <f>AND('Reference Form, Maintenance'!E24,"AAAAAG4/l9g=")</f>
        <v>#VALUE!</v>
      </c>
      <c r="HJ26" t="e">
        <f>AND('Reference Form, Maintenance'!F24,"AAAAAG4/l9k=")</f>
        <v>#VALUE!</v>
      </c>
      <c r="HK26" t="e">
        <f>AND('Reference Form, Maintenance'!G24,"AAAAAG4/l9o=")</f>
        <v>#VALUE!</v>
      </c>
      <c r="HL26" t="e">
        <f>AND('Reference Form, Maintenance'!H24,"AAAAAG4/l9s=")</f>
        <v>#VALUE!</v>
      </c>
      <c r="HM26">
        <f>IF('Reference Form, Maintenance'!25:25,"AAAAAG4/l9w=",0)</f>
        <v>0</v>
      </c>
      <c r="HN26" t="e">
        <f>AND('Reference Form, Maintenance'!A25,"AAAAAG4/l90=")</f>
        <v>#VALUE!</v>
      </c>
      <c r="HO26" t="e">
        <f>AND('Reference Form, Maintenance'!B25,"AAAAAG4/l94=")</f>
        <v>#VALUE!</v>
      </c>
      <c r="HP26" t="e">
        <f>AND('Reference Form, Maintenance'!C25,"AAAAAG4/l98=")</f>
        <v>#VALUE!</v>
      </c>
      <c r="HQ26" t="e">
        <f>AND('Reference Form, Maintenance'!D25,"AAAAAG4/l+A=")</f>
        <v>#VALUE!</v>
      </c>
      <c r="HR26" t="e">
        <f>AND('Reference Form, Maintenance'!E25,"AAAAAG4/l+E=")</f>
        <v>#VALUE!</v>
      </c>
      <c r="HS26" t="e">
        <f>AND('Reference Form, Maintenance'!F25,"AAAAAG4/l+I=")</f>
        <v>#VALUE!</v>
      </c>
      <c r="HT26" t="e">
        <f>AND('Reference Form, Maintenance'!G25,"AAAAAG4/l+M=")</f>
        <v>#VALUE!</v>
      </c>
      <c r="HU26" t="e">
        <f>AND('Reference Form, Maintenance'!H25,"AAAAAG4/l+Q=")</f>
        <v>#VALUE!</v>
      </c>
      <c r="HV26">
        <f>IF('Reference Form, Maintenance'!26:26,"AAAAAG4/l+U=",0)</f>
        <v>0</v>
      </c>
      <c r="HW26" t="e">
        <f>AND('Reference Form, Maintenance'!A26,"AAAAAG4/l+Y=")</f>
        <v>#VALUE!</v>
      </c>
      <c r="HX26" t="e">
        <f>AND('Reference Form, Maintenance'!B26,"AAAAAG4/l+c=")</f>
        <v>#VALUE!</v>
      </c>
      <c r="HY26" t="e">
        <f>AND('Reference Form, Maintenance'!C26,"AAAAAG4/l+g=")</f>
        <v>#VALUE!</v>
      </c>
      <c r="HZ26" t="e">
        <f>AND('Reference Form, Maintenance'!D26,"AAAAAG4/l+k=")</f>
        <v>#VALUE!</v>
      </c>
      <c r="IA26" t="e">
        <f>AND('Reference Form, Maintenance'!E26,"AAAAAG4/l+o=")</f>
        <v>#VALUE!</v>
      </c>
      <c r="IB26" t="e">
        <f>AND('Reference Form, Maintenance'!F26,"AAAAAG4/l+s=")</f>
        <v>#VALUE!</v>
      </c>
      <c r="IC26" t="e">
        <f>AND('Reference Form, Maintenance'!G26,"AAAAAG4/l+w=")</f>
        <v>#VALUE!</v>
      </c>
      <c r="ID26" t="e">
        <f>AND('Reference Form, Maintenance'!H26,"AAAAAG4/l+0=")</f>
        <v>#VALUE!</v>
      </c>
      <c r="IE26">
        <f>IF('Reference Form, Maintenance'!27:27,"AAAAAG4/l+4=",0)</f>
        <v>0</v>
      </c>
      <c r="IF26" t="e">
        <f>AND('Reference Form, Maintenance'!A27,"AAAAAG4/l+8=")</f>
        <v>#VALUE!</v>
      </c>
      <c r="IG26" t="e">
        <f>AND('Reference Form, Maintenance'!B27,"AAAAAG4/l/A=")</f>
        <v>#VALUE!</v>
      </c>
      <c r="IH26" t="e">
        <f>AND('Reference Form, Maintenance'!C27,"AAAAAG4/l/E=")</f>
        <v>#VALUE!</v>
      </c>
      <c r="II26" t="e">
        <f>AND('Reference Form, Maintenance'!D27,"AAAAAG4/l/I=")</f>
        <v>#VALUE!</v>
      </c>
      <c r="IJ26" t="e">
        <f>AND('Reference Form, Maintenance'!E27,"AAAAAG4/l/M=")</f>
        <v>#VALUE!</v>
      </c>
      <c r="IK26" t="e">
        <f>AND('Reference Form, Maintenance'!F27,"AAAAAG4/l/Q=")</f>
        <v>#VALUE!</v>
      </c>
      <c r="IL26" t="e">
        <f>AND('Reference Form, Maintenance'!G27,"AAAAAG4/l/U=")</f>
        <v>#VALUE!</v>
      </c>
      <c r="IM26" t="e">
        <f>AND('Reference Form, Maintenance'!H27,"AAAAAG4/l/Y=")</f>
        <v>#VALUE!</v>
      </c>
      <c r="IN26">
        <f>IF('Reference Form, Maintenance'!28:28,"AAAAAG4/l/c=",0)</f>
        <v>0</v>
      </c>
      <c r="IO26" t="e">
        <f>AND('Reference Form, Maintenance'!A28,"AAAAAG4/l/g=")</f>
        <v>#VALUE!</v>
      </c>
      <c r="IP26" t="e">
        <f>AND('Reference Form, Maintenance'!B28,"AAAAAG4/l/k=")</f>
        <v>#VALUE!</v>
      </c>
      <c r="IQ26" t="e">
        <f>AND('Reference Form, Maintenance'!C28,"AAAAAG4/l/o=")</f>
        <v>#VALUE!</v>
      </c>
      <c r="IR26" t="e">
        <f>AND('Reference Form, Maintenance'!D28,"AAAAAG4/l/s=")</f>
        <v>#VALUE!</v>
      </c>
      <c r="IS26" t="e">
        <f>AND('Reference Form, Maintenance'!E28,"AAAAAG4/l/w=")</f>
        <v>#VALUE!</v>
      </c>
      <c r="IT26" t="e">
        <f>AND('Reference Form, Maintenance'!F28,"AAAAAG4/l/0=")</f>
        <v>#VALUE!</v>
      </c>
      <c r="IU26" t="e">
        <f>AND('Reference Form, Maintenance'!G28,"AAAAAG4/l/4=")</f>
        <v>#VALUE!</v>
      </c>
      <c r="IV26" t="e">
        <f>AND('Reference Form, Maintenance'!H28,"AAAAAG4/l/8=")</f>
        <v>#VALUE!</v>
      </c>
    </row>
    <row r="27" spans="1:256" ht="12.75">
      <c r="A27" t="e">
        <f>IF('Reference Form, Maintenance'!29:29,"AAAAAB9ubgA=",0)</f>
        <v>#VALUE!</v>
      </c>
      <c r="B27" t="e">
        <f>AND('Reference Form, Maintenance'!A29,"AAAAAB9ubgE=")</f>
        <v>#VALUE!</v>
      </c>
      <c r="C27" t="e">
        <f>AND('Reference Form, Maintenance'!B29,"AAAAAB9ubgI=")</f>
        <v>#VALUE!</v>
      </c>
      <c r="D27" t="e">
        <f>AND('Reference Form, Maintenance'!C29,"AAAAAB9ubgM=")</f>
        <v>#VALUE!</v>
      </c>
      <c r="E27" t="e">
        <f>AND('Reference Form, Maintenance'!D29,"AAAAAB9ubgQ=")</f>
        <v>#VALUE!</v>
      </c>
      <c r="F27" t="e">
        <f>AND('Reference Form, Maintenance'!E29,"AAAAAB9ubgU=")</f>
        <v>#VALUE!</v>
      </c>
      <c r="G27" t="e">
        <f>AND('Reference Form, Maintenance'!F29,"AAAAAB9ubgY=")</f>
        <v>#VALUE!</v>
      </c>
      <c r="H27" t="e">
        <f>AND('Reference Form, Maintenance'!G29,"AAAAAB9ubgc=")</f>
        <v>#VALUE!</v>
      </c>
      <c r="I27" t="e">
        <f>AND('Reference Form, Maintenance'!H29,"AAAAAB9ubgg=")</f>
        <v>#VALUE!</v>
      </c>
      <c r="J27">
        <f>IF('Reference Form, Maintenance'!30:30,"AAAAAB9ubgk=",0)</f>
        <v>0</v>
      </c>
      <c r="K27" t="e">
        <f>AND('Reference Form, Maintenance'!A30,"AAAAAB9ubgo=")</f>
        <v>#VALUE!</v>
      </c>
      <c r="L27" t="e">
        <f>AND('Reference Form, Maintenance'!B30,"AAAAAB9ubgs=")</f>
        <v>#VALUE!</v>
      </c>
      <c r="M27" t="e">
        <f>AND('Reference Form, Maintenance'!C30,"AAAAAB9ubgw=")</f>
        <v>#VALUE!</v>
      </c>
      <c r="N27" t="e">
        <f>AND('Reference Form, Maintenance'!D30,"AAAAAB9ubg0=")</f>
        <v>#VALUE!</v>
      </c>
      <c r="O27" t="e">
        <f>AND('Reference Form, Maintenance'!E30,"AAAAAB9ubg4=")</f>
        <v>#VALUE!</v>
      </c>
      <c r="P27" t="e">
        <f>AND('Reference Form, Maintenance'!F30,"AAAAAB9ubg8=")</f>
        <v>#VALUE!</v>
      </c>
      <c r="Q27" t="e">
        <f>AND('Reference Form, Maintenance'!G30,"AAAAAB9ubhA=")</f>
        <v>#VALUE!</v>
      </c>
      <c r="R27" t="e">
        <f>AND('Reference Form, Maintenance'!H30,"AAAAAB9ubhE=")</f>
        <v>#VALUE!</v>
      </c>
      <c r="S27">
        <f>IF('Reference Form, Maintenance'!31:31,"AAAAAB9ubhI=",0)</f>
        <v>0</v>
      </c>
      <c r="T27" t="e">
        <f>AND('Reference Form, Maintenance'!A31,"AAAAAB9ubhM=")</f>
        <v>#VALUE!</v>
      </c>
      <c r="U27" t="e">
        <f>AND('Reference Form, Maintenance'!B31,"AAAAAB9ubhQ=")</f>
        <v>#VALUE!</v>
      </c>
      <c r="V27" t="e">
        <f>AND('Reference Form, Maintenance'!C31,"AAAAAB9ubhU=")</f>
        <v>#VALUE!</v>
      </c>
      <c r="W27" t="e">
        <f>AND('Reference Form, Maintenance'!D31,"AAAAAB9ubhY=")</f>
        <v>#VALUE!</v>
      </c>
      <c r="X27" t="e">
        <f>AND('Reference Form, Maintenance'!E31,"AAAAAB9ubhc=")</f>
        <v>#VALUE!</v>
      </c>
      <c r="Y27" t="e">
        <f>AND('Reference Form, Maintenance'!F31,"AAAAAB9ubhg=")</f>
        <v>#VALUE!</v>
      </c>
      <c r="Z27" t="e">
        <f>AND('Reference Form, Maintenance'!G31,"AAAAAB9ubhk=")</f>
        <v>#VALUE!</v>
      </c>
      <c r="AA27" t="e">
        <f>AND('Reference Form, Maintenance'!H31,"AAAAAB9ubho=")</f>
        <v>#VALUE!</v>
      </c>
      <c r="AB27">
        <f>IF('Reference Form, Maintenance'!32:32,"AAAAAB9ubhs=",0)</f>
        <v>0</v>
      </c>
      <c r="AC27" t="e">
        <f>AND('Reference Form, Maintenance'!A32,"AAAAAB9ubhw=")</f>
        <v>#VALUE!</v>
      </c>
      <c r="AD27" t="e">
        <f>AND('Reference Form, Maintenance'!B32,"AAAAAB9ubh0=")</f>
        <v>#VALUE!</v>
      </c>
      <c r="AE27" t="e">
        <f>AND('Reference Form, Maintenance'!C32,"AAAAAB9ubh4=")</f>
        <v>#VALUE!</v>
      </c>
      <c r="AF27" t="e">
        <f>AND('Reference Form, Maintenance'!D32,"AAAAAB9ubh8=")</f>
        <v>#VALUE!</v>
      </c>
      <c r="AG27" t="e">
        <f>AND('Reference Form, Maintenance'!E32,"AAAAAB9ubiA=")</f>
        <v>#VALUE!</v>
      </c>
      <c r="AH27" t="e">
        <f>AND('Reference Form, Maintenance'!F32,"AAAAAB9ubiE=")</f>
        <v>#VALUE!</v>
      </c>
      <c r="AI27" t="e">
        <f>AND('Reference Form, Maintenance'!G32,"AAAAAB9ubiI=")</f>
        <v>#VALUE!</v>
      </c>
      <c r="AJ27" t="e">
        <f>AND('Reference Form, Maintenance'!H32,"AAAAAB9ubiM=")</f>
        <v>#VALUE!</v>
      </c>
      <c r="AK27">
        <f>IF('Reference Form, Maintenance'!33:33,"AAAAAB9ubiQ=",0)</f>
        <v>0</v>
      </c>
      <c r="AL27" t="e">
        <f>AND('Reference Form, Maintenance'!A33,"AAAAAB9ubiU=")</f>
        <v>#VALUE!</v>
      </c>
      <c r="AM27" t="e">
        <f>AND('Reference Form, Maintenance'!B33,"AAAAAB9ubiY=")</f>
        <v>#VALUE!</v>
      </c>
      <c r="AN27" t="e">
        <f>AND('Reference Form, Maintenance'!C33,"AAAAAB9ubic=")</f>
        <v>#VALUE!</v>
      </c>
      <c r="AO27" t="e">
        <f>AND('Reference Form, Maintenance'!D33,"AAAAAB9ubig=")</f>
        <v>#VALUE!</v>
      </c>
      <c r="AP27" t="e">
        <f>AND('Reference Form, Maintenance'!E33,"AAAAAB9ubik=")</f>
        <v>#VALUE!</v>
      </c>
      <c r="AQ27" t="e">
        <f>AND('Reference Form, Maintenance'!F33,"AAAAAB9ubio=")</f>
        <v>#VALUE!</v>
      </c>
      <c r="AR27" t="e">
        <f>AND('Reference Form, Maintenance'!G33,"AAAAAB9ubis=")</f>
        <v>#VALUE!</v>
      </c>
      <c r="AS27" t="e">
        <f>AND('Reference Form, Maintenance'!H33,"AAAAAB9ubiw=")</f>
        <v>#VALUE!</v>
      </c>
      <c r="AT27">
        <f>IF('Reference Form, Maintenance'!34:34,"AAAAAB9ubi0=",0)</f>
        <v>0</v>
      </c>
      <c r="AU27" t="e">
        <f>AND('Reference Form, Maintenance'!A34,"AAAAAB9ubi4=")</f>
        <v>#VALUE!</v>
      </c>
      <c r="AV27" t="e">
        <f>AND('Reference Form, Maintenance'!B34,"AAAAAB9ubi8=")</f>
        <v>#VALUE!</v>
      </c>
      <c r="AW27" t="e">
        <f>AND('Reference Form, Maintenance'!C34,"AAAAAB9ubjA=")</f>
        <v>#VALUE!</v>
      </c>
      <c r="AX27" t="e">
        <f>AND('Reference Form, Maintenance'!D34,"AAAAAB9ubjE=")</f>
        <v>#VALUE!</v>
      </c>
      <c r="AY27" t="e">
        <f>AND('Reference Form, Maintenance'!E34,"AAAAAB9ubjI=")</f>
        <v>#VALUE!</v>
      </c>
      <c r="AZ27" t="e">
        <f>AND('Reference Form, Maintenance'!F34,"AAAAAB9ubjM=")</f>
        <v>#VALUE!</v>
      </c>
      <c r="BA27" t="e">
        <f>AND('Reference Form, Maintenance'!G34,"AAAAAB9ubjQ=")</f>
        <v>#VALUE!</v>
      </c>
      <c r="BB27" t="e">
        <f>AND('Reference Form, Maintenance'!H34,"AAAAAB9ubjU=")</f>
        <v>#VALUE!</v>
      </c>
      <c r="BC27">
        <f>IF('Reference Form, Maintenance'!35:35,"AAAAAB9ubjY=",0)</f>
        <v>0</v>
      </c>
      <c r="BD27" t="e">
        <f>AND('Reference Form, Maintenance'!A35,"AAAAAB9ubjc=")</f>
        <v>#VALUE!</v>
      </c>
      <c r="BE27" t="e">
        <f>AND('Reference Form, Maintenance'!B35,"AAAAAB9ubjg=")</f>
        <v>#VALUE!</v>
      </c>
      <c r="BF27" t="e">
        <f>AND('Reference Form, Maintenance'!C35,"AAAAAB9ubjk=")</f>
        <v>#VALUE!</v>
      </c>
      <c r="BG27" t="e">
        <f>AND('Reference Form, Maintenance'!D35,"AAAAAB9ubjo=")</f>
        <v>#VALUE!</v>
      </c>
      <c r="BH27" t="e">
        <f>AND('Reference Form, Maintenance'!E35,"AAAAAB9ubjs=")</f>
        <v>#VALUE!</v>
      </c>
      <c r="BI27" t="e">
        <f>AND('Reference Form, Maintenance'!F35,"AAAAAB9ubjw=")</f>
        <v>#VALUE!</v>
      </c>
      <c r="BJ27" t="e">
        <f>AND('Reference Form, Maintenance'!G35,"AAAAAB9ubj0=")</f>
        <v>#VALUE!</v>
      </c>
      <c r="BK27" t="e">
        <f>AND('Reference Form, Maintenance'!H35,"AAAAAB9ubj4=")</f>
        <v>#VALUE!</v>
      </c>
      <c r="BL27">
        <f>IF('Reference Form, Maintenance'!36:36,"AAAAAB9ubj8=",0)</f>
        <v>0</v>
      </c>
      <c r="BM27" t="e">
        <f>AND('Reference Form, Maintenance'!A36,"AAAAAB9ubkA=")</f>
        <v>#VALUE!</v>
      </c>
      <c r="BN27" t="e">
        <f>AND('Reference Form, Maintenance'!B36,"AAAAAB9ubkE=")</f>
        <v>#VALUE!</v>
      </c>
      <c r="BO27" t="e">
        <f>AND('Reference Form, Maintenance'!C36,"AAAAAB9ubkI=")</f>
        <v>#VALUE!</v>
      </c>
      <c r="BP27" t="e">
        <f>AND('Reference Form, Maintenance'!D36,"AAAAAB9ubkM=")</f>
        <v>#VALUE!</v>
      </c>
      <c r="BQ27" t="e">
        <f>AND('Reference Form, Maintenance'!E36,"AAAAAB9ubkQ=")</f>
        <v>#VALUE!</v>
      </c>
      <c r="BR27" t="e">
        <f>AND('Reference Form, Maintenance'!F36,"AAAAAB9ubkU=")</f>
        <v>#VALUE!</v>
      </c>
      <c r="BS27" t="e">
        <f>AND('Reference Form, Maintenance'!G36,"AAAAAB9ubkY=")</f>
        <v>#VALUE!</v>
      </c>
      <c r="BT27" t="e">
        <f>AND('Reference Form, Maintenance'!H36,"AAAAAB9ubkc=")</f>
        <v>#VALUE!</v>
      </c>
      <c r="BU27">
        <f>IF('Reference Form, Maintenance'!37:37,"AAAAAB9ubkg=",0)</f>
        <v>0</v>
      </c>
      <c r="BV27" t="e">
        <f>AND('Reference Form, Maintenance'!A37,"AAAAAB9ubkk=")</f>
        <v>#VALUE!</v>
      </c>
      <c r="BW27" t="e">
        <f>AND('Reference Form, Maintenance'!B37,"AAAAAB9ubko=")</f>
        <v>#VALUE!</v>
      </c>
      <c r="BX27" t="e">
        <f>AND('Reference Form, Maintenance'!C37,"AAAAAB9ubks=")</f>
        <v>#VALUE!</v>
      </c>
      <c r="BY27" t="e">
        <f>AND('Reference Form, Maintenance'!D37,"AAAAAB9ubkw=")</f>
        <v>#VALUE!</v>
      </c>
      <c r="BZ27" t="e">
        <f>AND('Reference Form, Maintenance'!E37,"AAAAAB9ubk0=")</f>
        <v>#VALUE!</v>
      </c>
      <c r="CA27" t="e">
        <f>AND('Reference Form, Maintenance'!F37,"AAAAAB9ubk4=")</f>
        <v>#VALUE!</v>
      </c>
      <c r="CB27" t="e">
        <f>AND('Reference Form, Maintenance'!G37,"AAAAAB9ubk8=")</f>
        <v>#VALUE!</v>
      </c>
      <c r="CC27" t="e">
        <f>AND('Reference Form, Maintenance'!H37,"AAAAAB9ublA=")</f>
        <v>#VALUE!</v>
      </c>
      <c r="CD27">
        <f>IF('Reference Form, Maintenance'!38:38,"AAAAAB9ublE=",0)</f>
        <v>0</v>
      </c>
      <c r="CE27" t="e">
        <f>AND('Reference Form, Maintenance'!A38,"AAAAAB9ublI=")</f>
        <v>#VALUE!</v>
      </c>
      <c r="CF27" t="e">
        <f>AND('Reference Form, Maintenance'!B38,"AAAAAB9ublM=")</f>
        <v>#VALUE!</v>
      </c>
      <c r="CG27" t="e">
        <f>AND('Reference Form, Maintenance'!C38,"AAAAAB9ublQ=")</f>
        <v>#VALUE!</v>
      </c>
      <c r="CH27" t="e">
        <f>AND('Reference Form, Maintenance'!D38,"AAAAAB9ublU=")</f>
        <v>#VALUE!</v>
      </c>
      <c r="CI27" t="e">
        <f>AND('Reference Form, Maintenance'!E38,"AAAAAB9ublY=")</f>
        <v>#VALUE!</v>
      </c>
      <c r="CJ27" t="e">
        <f>AND('Reference Form, Maintenance'!F38,"AAAAAB9ublc=")</f>
        <v>#VALUE!</v>
      </c>
      <c r="CK27" t="e">
        <f>AND('Reference Form, Maintenance'!G38,"AAAAAB9ublg=")</f>
        <v>#VALUE!</v>
      </c>
      <c r="CL27" t="e">
        <f>AND('Reference Form, Maintenance'!H38,"AAAAAB9ublk=")</f>
        <v>#VALUE!</v>
      </c>
      <c r="CM27">
        <f>IF('Reference Form, Maintenance'!39:39,"AAAAAB9ublo=",0)</f>
        <v>0</v>
      </c>
      <c r="CN27" t="e">
        <f>AND('Reference Form, Maintenance'!A39,"AAAAAB9ubls=")</f>
        <v>#VALUE!</v>
      </c>
      <c r="CO27" t="e">
        <f>AND('Reference Form, Maintenance'!B39,"AAAAAB9ublw=")</f>
        <v>#VALUE!</v>
      </c>
      <c r="CP27" t="e">
        <f>AND('Reference Form, Maintenance'!C39,"AAAAAB9ubl0=")</f>
        <v>#VALUE!</v>
      </c>
      <c r="CQ27" t="e">
        <f>AND('Reference Form, Maintenance'!D39,"AAAAAB9ubl4=")</f>
        <v>#VALUE!</v>
      </c>
      <c r="CR27" t="e">
        <f>AND('Reference Form, Maintenance'!E39,"AAAAAB9ubl8=")</f>
        <v>#VALUE!</v>
      </c>
      <c r="CS27" t="e">
        <f>AND('Reference Form, Maintenance'!F39,"AAAAAB9ubmA=")</f>
        <v>#VALUE!</v>
      </c>
      <c r="CT27" t="e">
        <f>AND('Reference Form, Maintenance'!G39,"AAAAAB9ubmE=")</f>
        <v>#VALUE!</v>
      </c>
      <c r="CU27" t="e">
        <f>AND('Reference Form, Maintenance'!H39,"AAAAAB9ubmI=")</f>
        <v>#VALUE!</v>
      </c>
      <c r="CV27">
        <f>IF('Reference Form, Maintenance'!40:40,"AAAAAB9ubmM=",0)</f>
        <v>0</v>
      </c>
      <c r="CW27" t="e">
        <f>AND('Reference Form, Maintenance'!A40,"AAAAAB9ubmQ=")</f>
        <v>#VALUE!</v>
      </c>
      <c r="CX27" t="e">
        <f>AND('Reference Form, Maintenance'!B40,"AAAAAB9ubmU=")</f>
        <v>#VALUE!</v>
      </c>
      <c r="CY27" t="e">
        <f>AND('Reference Form, Maintenance'!C40,"AAAAAB9ubmY=")</f>
        <v>#VALUE!</v>
      </c>
      <c r="CZ27" t="e">
        <f>AND('Reference Form, Maintenance'!D40,"AAAAAB9ubmc=")</f>
        <v>#VALUE!</v>
      </c>
      <c r="DA27" t="e">
        <f>AND('Reference Form, Maintenance'!E40,"AAAAAB9ubmg=")</f>
        <v>#VALUE!</v>
      </c>
      <c r="DB27" t="e">
        <f>AND('Reference Form, Maintenance'!F40,"AAAAAB9ubmk=")</f>
        <v>#VALUE!</v>
      </c>
      <c r="DC27" t="e">
        <f>AND('Reference Form, Maintenance'!G40,"AAAAAB9ubmo=")</f>
        <v>#VALUE!</v>
      </c>
      <c r="DD27" t="e">
        <f>AND('Reference Form, Maintenance'!H40,"AAAAAB9ubms=")</f>
        <v>#VALUE!</v>
      </c>
      <c r="DE27">
        <f>IF('Reference Form, Maintenance'!41:41,"AAAAAB9ubmw=",0)</f>
        <v>0</v>
      </c>
      <c r="DF27" t="e">
        <f>AND('Reference Form, Maintenance'!A41,"AAAAAB9ubm0=")</f>
        <v>#VALUE!</v>
      </c>
      <c r="DG27" t="e">
        <f>AND('Reference Form, Maintenance'!B41,"AAAAAB9ubm4=")</f>
        <v>#VALUE!</v>
      </c>
      <c r="DH27" t="e">
        <f>AND('Reference Form, Maintenance'!C41,"AAAAAB9ubm8=")</f>
        <v>#VALUE!</v>
      </c>
      <c r="DI27" t="e">
        <f>AND('Reference Form, Maintenance'!D41,"AAAAAB9ubnA=")</f>
        <v>#VALUE!</v>
      </c>
      <c r="DJ27" t="e">
        <f>AND('Reference Form, Maintenance'!E41,"AAAAAB9ubnE=")</f>
        <v>#VALUE!</v>
      </c>
      <c r="DK27" t="e">
        <f>AND('Reference Form, Maintenance'!F41,"AAAAAB9ubnI=")</f>
        <v>#VALUE!</v>
      </c>
      <c r="DL27" t="e">
        <f>AND('Reference Form, Maintenance'!G41,"AAAAAB9ubnM=")</f>
        <v>#VALUE!</v>
      </c>
      <c r="DM27" t="e">
        <f>AND('Reference Form, Maintenance'!H41,"AAAAAB9ubnQ=")</f>
        <v>#VALUE!</v>
      </c>
      <c r="DN27">
        <f>IF('Reference Form, Maintenance'!42:42,"AAAAAB9ubnU=",0)</f>
        <v>0</v>
      </c>
      <c r="DO27" t="e">
        <f>AND('Reference Form, Maintenance'!A42,"AAAAAB9ubnY=")</f>
        <v>#VALUE!</v>
      </c>
      <c r="DP27" t="e">
        <f>AND('Reference Form, Maintenance'!B42,"AAAAAB9ubnc=")</f>
        <v>#VALUE!</v>
      </c>
      <c r="DQ27" t="e">
        <f>AND('Reference Form, Maintenance'!C42,"AAAAAB9ubng=")</f>
        <v>#VALUE!</v>
      </c>
      <c r="DR27" t="e">
        <f>AND('Reference Form, Maintenance'!D42,"AAAAAB9ubnk=")</f>
        <v>#VALUE!</v>
      </c>
      <c r="DS27" t="e">
        <f>AND('Reference Form, Maintenance'!E42,"AAAAAB9ubno=")</f>
        <v>#VALUE!</v>
      </c>
      <c r="DT27" t="e">
        <f>AND('Reference Form, Maintenance'!F42,"AAAAAB9ubns=")</f>
        <v>#VALUE!</v>
      </c>
      <c r="DU27" t="e">
        <f>AND('Reference Form, Maintenance'!G42,"AAAAAB9ubnw=")</f>
        <v>#VALUE!</v>
      </c>
      <c r="DV27" t="e">
        <f>AND('Reference Form, Maintenance'!H42,"AAAAAB9ubn0=")</f>
        <v>#VALUE!</v>
      </c>
      <c r="DW27">
        <f>IF('Reference Form, Maintenance'!43:43,"AAAAAB9ubn4=",0)</f>
        <v>0</v>
      </c>
      <c r="DX27" t="e">
        <f>AND('Reference Form, Maintenance'!A43,"AAAAAB9ubn8=")</f>
        <v>#VALUE!</v>
      </c>
      <c r="DY27" t="e">
        <f>AND('Reference Form, Maintenance'!B43,"AAAAAB9uboA=")</f>
        <v>#VALUE!</v>
      </c>
      <c r="DZ27" t="e">
        <f>AND('Reference Form, Maintenance'!C43,"AAAAAB9uboE=")</f>
        <v>#VALUE!</v>
      </c>
      <c r="EA27" t="e">
        <f>AND('Reference Form, Maintenance'!D43,"AAAAAB9uboI=")</f>
        <v>#VALUE!</v>
      </c>
      <c r="EB27" t="e">
        <f>AND('Reference Form, Maintenance'!E43,"AAAAAB9uboM=")</f>
        <v>#VALUE!</v>
      </c>
      <c r="EC27" t="e">
        <f>AND('Reference Form, Maintenance'!F43,"AAAAAB9uboQ=")</f>
        <v>#VALUE!</v>
      </c>
      <c r="ED27" t="e">
        <f>AND('Reference Form, Maintenance'!G43,"AAAAAB9uboU=")</f>
        <v>#VALUE!</v>
      </c>
      <c r="EE27" t="e">
        <f>AND('Reference Form, Maintenance'!H43,"AAAAAB9uboY=")</f>
        <v>#VALUE!</v>
      </c>
      <c r="EF27">
        <f>IF('Reference Form, Maintenance'!44:44,"AAAAAB9uboc=",0)</f>
        <v>0</v>
      </c>
      <c r="EG27" t="e">
        <f>AND('Reference Form, Maintenance'!A44,"AAAAAB9ubog=")</f>
        <v>#VALUE!</v>
      </c>
      <c r="EH27" t="e">
        <f>AND('Reference Form, Maintenance'!B44,"AAAAAB9ubok=")</f>
        <v>#VALUE!</v>
      </c>
      <c r="EI27" t="e">
        <f>AND('Reference Form, Maintenance'!C44,"AAAAAB9uboo=")</f>
        <v>#VALUE!</v>
      </c>
      <c r="EJ27" t="e">
        <f>AND('Reference Form, Maintenance'!D44,"AAAAAB9ubos=")</f>
        <v>#VALUE!</v>
      </c>
      <c r="EK27" t="e">
        <f>AND('Reference Form, Maintenance'!E44,"AAAAAB9ubow=")</f>
        <v>#VALUE!</v>
      </c>
      <c r="EL27" t="e">
        <f>AND('Reference Form, Maintenance'!F44,"AAAAAB9ubo0=")</f>
        <v>#VALUE!</v>
      </c>
      <c r="EM27" t="e">
        <f>AND('Reference Form, Maintenance'!G44,"AAAAAB9ubo4=")</f>
        <v>#VALUE!</v>
      </c>
      <c r="EN27" t="e">
        <f>AND('Reference Form, Maintenance'!H44,"AAAAAB9ubo8=")</f>
        <v>#VALUE!</v>
      </c>
      <c r="EO27">
        <f>IF('Reference Form, Maintenance'!45:45,"AAAAAB9ubpA=",0)</f>
        <v>0</v>
      </c>
      <c r="EP27" t="e">
        <f>AND('Reference Form, Maintenance'!A45,"AAAAAB9ubpE=")</f>
        <v>#VALUE!</v>
      </c>
      <c r="EQ27" t="e">
        <f>AND('Reference Form, Maintenance'!B45,"AAAAAB9ubpI=")</f>
        <v>#VALUE!</v>
      </c>
      <c r="ER27" t="e">
        <f>AND('Reference Form, Maintenance'!C45,"AAAAAB9ubpM=")</f>
        <v>#VALUE!</v>
      </c>
      <c r="ES27" t="e">
        <f>AND('Reference Form, Maintenance'!D45,"AAAAAB9ubpQ=")</f>
        <v>#VALUE!</v>
      </c>
      <c r="ET27" t="e">
        <f>AND('Reference Form, Maintenance'!E45,"AAAAAB9ubpU=")</f>
        <v>#VALUE!</v>
      </c>
      <c r="EU27" t="e">
        <f>AND('Reference Form, Maintenance'!F45,"AAAAAB9ubpY=")</f>
        <v>#VALUE!</v>
      </c>
      <c r="EV27" t="e">
        <f>AND('Reference Form, Maintenance'!G45,"AAAAAB9ubpc=")</f>
        <v>#VALUE!</v>
      </c>
      <c r="EW27" t="e">
        <f>AND('Reference Form, Maintenance'!H45,"AAAAAB9ubpg=")</f>
        <v>#VALUE!</v>
      </c>
      <c r="EX27">
        <f>IF('Reference Form, Maintenance'!46:46,"AAAAAB9ubpk=",0)</f>
        <v>0</v>
      </c>
      <c r="EY27" t="e">
        <f>AND('Reference Form, Maintenance'!A46,"AAAAAB9ubpo=")</f>
        <v>#VALUE!</v>
      </c>
      <c r="EZ27" t="e">
        <f>AND('Reference Form, Maintenance'!B46,"AAAAAB9ubps=")</f>
        <v>#VALUE!</v>
      </c>
      <c r="FA27" t="e">
        <f>AND('Reference Form, Maintenance'!C46,"AAAAAB9ubpw=")</f>
        <v>#VALUE!</v>
      </c>
      <c r="FB27" t="e">
        <f>AND('Reference Form, Maintenance'!D46,"AAAAAB9ubp0=")</f>
        <v>#VALUE!</v>
      </c>
      <c r="FC27" t="e">
        <f>AND('Reference Form, Maintenance'!E46,"AAAAAB9ubp4=")</f>
        <v>#VALUE!</v>
      </c>
      <c r="FD27" t="e">
        <f>AND('Reference Form, Maintenance'!F46,"AAAAAB9ubp8=")</f>
        <v>#VALUE!</v>
      </c>
      <c r="FE27" t="e">
        <f>AND('Reference Form, Maintenance'!G46,"AAAAAB9ubqA=")</f>
        <v>#VALUE!</v>
      </c>
      <c r="FF27" t="e">
        <f>AND('Reference Form, Maintenance'!H46,"AAAAAB9ubqE=")</f>
        <v>#VALUE!</v>
      </c>
      <c r="FG27">
        <f>IF('Reference Form, Maintenance'!47:47,"AAAAAB9ubqI=",0)</f>
        <v>0</v>
      </c>
      <c r="FH27" t="e">
        <f>AND('Reference Form, Maintenance'!A47,"AAAAAB9ubqM=")</f>
        <v>#VALUE!</v>
      </c>
      <c r="FI27" t="e">
        <f>AND('Reference Form, Maintenance'!B47,"AAAAAB9ubqQ=")</f>
        <v>#VALUE!</v>
      </c>
      <c r="FJ27" t="e">
        <f>AND('Reference Form, Maintenance'!C47,"AAAAAB9ubqU=")</f>
        <v>#VALUE!</v>
      </c>
      <c r="FK27" t="e">
        <f>AND('Reference Form, Maintenance'!D47,"AAAAAB9ubqY=")</f>
        <v>#VALUE!</v>
      </c>
      <c r="FL27" t="e">
        <f>AND('Reference Form, Maintenance'!E47,"AAAAAB9ubqc=")</f>
        <v>#VALUE!</v>
      </c>
      <c r="FM27" t="e">
        <f>AND('Reference Form, Maintenance'!F47,"AAAAAB9ubqg=")</f>
        <v>#VALUE!</v>
      </c>
      <c r="FN27" t="e">
        <f>AND('Reference Form, Maintenance'!G47,"AAAAAB9ubqk=")</f>
        <v>#VALUE!</v>
      </c>
      <c r="FO27" t="e">
        <f>AND('Reference Form, Maintenance'!H47,"AAAAAB9ubqo=")</f>
        <v>#VALUE!</v>
      </c>
      <c r="FP27">
        <f>IF('Reference Form, Maintenance'!48:48,"AAAAAB9ubqs=",0)</f>
        <v>0</v>
      </c>
      <c r="FQ27" t="e">
        <f>AND('Reference Form, Maintenance'!A48,"AAAAAB9ubqw=")</f>
        <v>#VALUE!</v>
      </c>
      <c r="FR27" t="e">
        <f>AND('Reference Form, Maintenance'!B48,"AAAAAB9ubq0=")</f>
        <v>#VALUE!</v>
      </c>
      <c r="FS27" t="e">
        <f>AND('Reference Form, Maintenance'!C48,"AAAAAB9ubq4=")</f>
        <v>#VALUE!</v>
      </c>
      <c r="FT27" t="e">
        <f>AND('Reference Form, Maintenance'!D48,"AAAAAB9ubq8=")</f>
        <v>#VALUE!</v>
      </c>
      <c r="FU27" t="e">
        <f>AND('Reference Form, Maintenance'!E48,"AAAAAB9ubrA=")</f>
        <v>#VALUE!</v>
      </c>
      <c r="FV27" t="e">
        <f>AND('Reference Form, Maintenance'!F48,"AAAAAB9ubrE=")</f>
        <v>#VALUE!</v>
      </c>
      <c r="FW27" t="e">
        <f>AND('Reference Form, Maintenance'!G48,"AAAAAB9ubrI=")</f>
        <v>#VALUE!</v>
      </c>
      <c r="FX27" t="e">
        <f>AND('Reference Form, Maintenance'!H48,"AAAAAB9ubrM=")</f>
        <v>#VALUE!</v>
      </c>
      <c r="FY27">
        <f>IF('Reference Form, Maintenance'!49:49,"AAAAAB9ubrQ=",0)</f>
        <v>0</v>
      </c>
      <c r="FZ27" t="e">
        <f>AND('Reference Form, Maintenance'!A49,"AAAAAB9ubrU=")</f>
        <v>#VALUE!</v>
      </c>
      <c r="GA27" t="e">
        <f>AND('Reference Form, Maintenance'!B49,"AAAAAB9ubrY=")</f>
        <v>#VALUE!</v>
      </c>
      <c r="GB27" t="e">
        <f>AND('Reference Form, Maintenance'!C49,"AAAAAB9ubrc=")</f>
        <v>#VALUE!</v>
      </c>
      <c r="GC27" t="e">
        <f>AND('Reference Form, Maintenance'!D49,"AAAAAB9ubrg=")</f>
        <v>#VALUE!</v>
      </c>
      <c r="GD27" t="e">
        <f>AND('Reference Form, Maintenance'!E49,"AAAAAB9ubrk=")</f>
        <v>#VALUE!</v>
      </c>
      <c r="GE27" t="e">
        <f>AND('Reference Form, Maintenance'!F49,"AAAAAB9ubro=")</f>
        <v>#VALUE!</v>
      </c>
      <c r="GF27" t="e">
        <f>AND('Reference Form, Maintenance'!G49,"AAAAAB9ubrs=")</f>
        <v>#VALUE!</v>
      </c>
      <c r="GG27" t="e">
        <f>AND('Reference Form, Maintenance'!H49,"AAAAAB9ubrw=")</f>
        <v>#VALUE!</v>
      </c>
      <c r="GH27">
        <f>IF('Reference Form, Maintenance'!50:50,"AAAAAB9ubr0=",0)</f>
        <v>0</v>
      </c>
      <c r="GI27" t="e">
        <f>AND('Reference Form, Maintenance'!A50,"AAAAAB9ubr4=")</f>
        <v>#VALUE!</v>
      </c>
      <c r="GJ27" t="e">
        <f>AND('Reference Form, Maintenance'!B50,"AAAAAB9ubr8=")</f>
        <v>#VALUE!</v>
      </c>
      <c r="GK27" t="e">
        <f>AND('Reference Form, Maintenance'!C50,"AAAAAB9ubsA=")</f>
        <v>#VALUE!</v>
      </c>
      <c r="GL27" t="e">
        <f>AND('Reference Form, Maintenance'!D50,"AAAAAB9ubsE=")</f>
        <v>#VALUE!</v>
      </c>
      <c r="GM27" t="e">
        <f>AND('Reference Form, Maintenance'!E50,"AAAAAB9ubsI=")</f>
        <v>#VALUE!</v>
      </c>
      <c r="GN27" t="e">
        <f>AND('Reference Form, Maintenance'!F50,"AAAAAB9ubsM=")</f>
        <v>#VALUE!</v>
      </c>
      <c r="GO27" t="e">
        <f>AND('Reference Form, Maintenance'!G50,"AAAAAB9ubsQ=")</f>
        <v>#VALUE!</v>
      </c>
      <c r="GP27" t="e">
        <f>AND('Reference Form, Maintenance'!H50,"AAAAAB9ubsU=")</f>
        <v>#VALUE!</v>
      </c>
      <c r="GQ27">
        <f>IF('Reference Form, Maintenance'!51:51,"AAAAAB9ubsY=",0)</f>
        <v>0</v>
      </c>
      <c r="GR27" t="e">
        <f>AND('Reference Form, Maintenance'!A51,"AAAAAB9ubsc=")</f>
        <v>#VALUE!</v>
      </c>
      <c r="GS27" t="e">
        <f>AND('Reference Form, Maintenance'!B51,"AAAAAB9ubsg=")</f>
        <v>#VALUE!</v>
      </c>
      <c r="GT27" t="e">
        <f>AND('Reference Form, Maintenance'!C51,"AAAAAB9ubsk=")</f>
        <v>#VALUE!</v>
      </c>
      <c r="GU27" t="e">
        <f>AND('Reference Form, Maintenance'!D51,"AAAAAB9ubso=")</f>
        <v>#VALUE!</v>
      </c>
      <c r="GV27" t="e">
        <f>AND('Reference Form, Maintenance'!E51,"AAAAAB9ubss=")</f>
        <v>#VALUE!</v>
      </c>
      <c r="GW27" t="e">
        <f>AND('Reference Form, Maintenance'!F51,"AAAAAB9ubsw=")</f>
        <v>#VALUE!</v>
      </c>
      <c r="GX27" t="e">
        <f>AND('Reference Form, Maintenance'!G51,"AAAAAB9ubs0=")</f>
        <v>#VALUE!</v>
      </c>
      <c r="GY27" t="e">
        <f>AND('Reference Form, Maintenance'!H51,"AAAAAB9ubs4=")</f>
        <v>#VALUE!</v>
      </c>
      <c r="GZ27">
        <f>IF('Reference Form, Maintenance'!52:52,"AAAAAB9ubs8=",0)</f>
        <v>0</v>
      </c>
      <c r="HA27" t="e">
        <f>AND('Reference Form, Maintenance'!A52,"AAAAAB9ubtA=")</f>
        <v>#VALUE!</v>
      </c>
      <c r="HB27" t="e">
        <f>AND('Reference Form, Maintenance'!B52,"AAAAAB9ubtE=")</f>
        <v>#VALUE!</v>
      </c>
      <c r="HC27" t="e">
        <f>AND('Reference Form, Maintenance'!C52,"AAAAAB9ubtI=")</f>
        <v>#VALUE!</v>
      </c>
      <c r="HD27" t="e">
        <f>AND('Reference Form, Maintenance'!D52,"AAAAAB9ubtM=")</f>
        <v>#VALUE!</v>
      </c>
      <c r="HE27" t="e">
        <f>AND('Reference Form, Maintenance'!E52,"AAAAAB9ubtQ=")</f>
        <v>#VALUE!</v>
      </c>
      <c r="HF27" t="e">
        <f>AND('Reference Form, Maintenance'!F52,"AAAAAB9ubtU=")</f>
        <v>#VALUE!</v>
      </c>
      <c r="HG27" t="e">
        <f>AND('Reference Form, Maintenance'!G52,"AAAAAB9ubtY=")</f>
        <v>#VALUE!</v>
      </c>
      <c r="HH27" t="e">
        <f>AND('Reference Form, Maintenance'!H52,"AAAAAB9ubtc=")</f>
        <v>#VALUE!</v>
      </c>
      <c r="HI27">
        <f>IF('Reference Form, Maintenance'!53:53,"AAAAAB9ubtg=",0)</f>
        <v>0</v>
      </c>
      <c r="HJ27" t="e">
        <f>AND('Reference Form, Maintenance'!A53,"AAAAAB9ubtk=")</f>
        <v>#VALUE!</v>
      </c>
      <c r="HK27" t="e">
        <f>AND('Reference Form, Maintenance'!B53,"AAAAAB9ubto=")</f>
        <v>#VALUE!</v>
      </c>
      <c r="HL27" t="e">
        <f>AND('Reference Form, Maintenance'!C53,"AAAAAB9ubts=")</f>
        <v>#VALUE!</v>
      </c>
      <c r="HM27" t="e">
        <f>AND('Reference Form, Maintenance'!D53,"AAAAAB9ubtw=")</f>
        <v>#VALUE!</v>
      </c>
      <c r="HN27" t="e">
        <f>AND('Reference Form, Maintenance'!E53,"AAAAAB9ubt0=")</f>
        <v>#VALUE!</v>
      </c>
      <c r="HO27" t="e">
        <f>AND('Reference Form, Maintenance'!F53,"AAAAAB9ubt4=")</f>
        <v>#VALUE!</v>
      </c>
      <c r="HP27" t="e">
        <f>AND('Reference Form, Maintenance'!G53,"AAAAAB9ubt8=")</f>
        <v>#VALUE!</v>
      </c>
      <c r="HQ27" t="e">
        <f>AND('Reference Form, Maintenance'!H53,"AAAAAB9ubuA=")</f>
        <v>#VALUE!</v>
      </c>
      <c r="HR27">
        <f>IF('Reference Form, Maintenance'!54:54,"AAAAAB9ubuE=",0)</f>
        <v>0</v>
      </c>
      <c r="HS27" t="e">
        <f>AND('Reference Form, Maintenance'!A54,"AAAAAB9ubuI=")</f>
        <v>#VALUE!</v>
      </c>
      <c r="HT27" t="e">
        <f>AND('Reference Form, Maintenance'!B54,"AAAAAB9ubuM=")</f>
        <v>#VALUE!</v>
      </c>
      <c r="HU27" t="e">
        <f>AND('Reference Form, Maintenance'!C54,"AAAAAB9ubuQ=")</f>
        <v>#VALUE!</v>
      </c>
      <c r="HV27" t="e">
        <f>AND('Reference Form, Maintenance'!D54,"AAAAAB9ubuU=")</f>
        <v>#VALUE!</v>
      </c>
      <c r="HW27" t="e">
        <f>AND('Reference Form, Maintenance'!E54,"AAAAAB9ubuY=")</f>
        <v>#VALUE!</v>
      </c>
      <c r="HX27" t="e">
        <f>AND('Reference Form, Maintenance'!F54,"AAAAAB9ubuc=")</f>
        <v>#VALUE!</v>
      </c>
      <c r="HY27" t="e">
        <f>AND('Reference Form, Maintenance'!G54,"AAAAAB9ubug=")</f>
        <v>#VALUE!</v>
      </c>
      <c r="HZ27" t="e">
        <f>AND('Reference Form, Maintenance'!H54,"AAAAAB9ubuk=")</f>
        <v>#VALUE!</v>
      </c>
      <c r="IA27">
        <f>IF('Reference Form, Maintenance'!55:55,"AAAAAB9ubuo=",0)</f>
        <v>0</v>
      </c>
      <c r="IB27" t="e">
        <f>AND('Reference Form, Maintenance'!A55,"AAAAAB9ubus=")</f>
        <v>#VALUE!</v>
      </c>
      <c r="IC27" t="e">
        <f>AND('Reference Form, Maintenance'!B55,"AAAAAB9ubuw=")</f>
        <v>#VALUE!</v>
      </c>
      <c r="ID27" t="e">
        <f>AND('Reference Form, Maintenance'!C55,"AAAAAB9ubu0=")</f>
        <v>#VALUE!</v>
      </c>
      <c r="IE27" t="e">
        <f>AND('Reference Form, Maintenance'!D55,"AAAAAB9ubu4=")</f>
        <v>#VALUE!</v>
      </c>
      <c r="IF27" t="e">
        <f>AND('Reference Form, Maintenance'!E55,"AAAAAB9ubu8=")</f>
        <v>#VALUE!</v>
      </c>
      <c r="IG27" t="e">
        <f>AND('Reference Form, Maintenance'!F55,"AAAAAB9ubvA=")</f>
        <v>#VALUE!</v>
      </c>
      <c r="IH27" t="e">
        <f>AND('Reference Form, Maintenance'!G55,"AAAAAB9ubvE=")</f>
        <v>#VALUE!</v>
      </c>
      <c r="II27" t="e">
        <f>AND('Reference Form, Maintenance'!H55,"AAAAAB9ubvI=")</f>
        <v>#VALUE!</v>
      </c>
      <c r="IJ27">
        <f>IF('Reference Form, Maintenance'!56:56,"AAAAAB9ubvM=",0)</f>
        <v>0</v>
      </c>
      <c r="IK27" t="e">
        <f>AND('Reference Form, Maintenance'!A56,"AAAAAB9ubvQ=")</f>
        <v>#VALUE!</v>
      </c>
      <c r="IL27">
        <f>IF('Reference Form, Maintenance'!57:57,"AAAAAB9ubvU=",0)</f>
        <v>0</v>
      </c>
      <c r="IM27" t="e">
        <f>AND('Reference Form, Maintenance'!A57,"AAAAAB9ubvY=")</f>
        <v>#VALUE!</v>
      </c>
      <c r="IN27">
        <f>IF('Reference Form, Maintenance'!58:58,"AAAAAB9ubvc=",0)</f>
        <v>0</v>
      </c>
      <c r="IO27" t="e">
        <f>AND('Reference Form, Maintenance'!A58,"AAAAAB9ubvg=")</f>
        <v>#VALUE!</v>
      </c>
      <c r="IP27">
        <f>IF('Reference Form, Maintenance'!59:59,"AAAAAB9ubvk=",0)</f>
        <v>0</v>
      </c>
      <c r="IQ27" t="e">
        <f>AND('Reference Form, Maintenance'!A59,"AAAAAB9ubvo=")</f>
        <v>#VALUE!</v>
      </c>
      <c r="IR27">
        <f>IF('Reference Form, Maintenance'!60:60,"AAAAAB9ubvs=",0)</f>
        <v>0</v>
      </c>
      <c r="IS27" t="e">
        <f>AND('Reference Form, Maintenance'!A60,"AAAAAB9ubvw=")</f>
        <v>#VALUE!</v>
      </c>
      <c r="IT27">
        <f>IF('Reference Form, Maintenance'!61:61,"AAAAAB9ubv0=",0)</f>
        <v>0</v>
      </c>
      <c r="IU27" t="e">
        <f>AND('Reference Form, Maintenance'!A61,"AAAAAB9ubv4=")</f>
        <v>#VALUE!</v>
      </c>
      <c r="IV27">
        <f>IF('Reference Form, Maintenance'!62:62,"AAAAAB9ubv8=",0)</f>
        <v>0</v>
      </c>
    </row>
    <row r="28" spans="1:256" ht="12.75">
      <c r="A28" t="e">
        <f>AND('Reference Form, Maintenance'!A62,"AAAAAH39tQA=")</f>
        <v>#VALUE!</v>
      </c>
      <c r="B28">
        <f>IF('Reference Form, Maintenance'!63:63,"AAAAAH39tQE=",0)</f>
        <v>0</v>
      </c>
      <c r="C28" t="e">
        <f>AND('Reference Form, Maintenance'!A63,"AAAAAH39tQI=")</f>
        <v>#VALUE!</v>
      </c>
      <c r="D28">
        <f>IF('Reference Form, Maintenance'!64:64,"AAAAAH39tQM=",0)</f>
        <v>0</v>
      </c>
      <c r="E28" t="e">
        <f>AND('Reference Form, Maintenance'!A64,"AAAAAH39tQQ=")</f>
        <v>#VALUE!</v>
      </c>
      <c r="F28">
        <f>IF('Reference Form, Maintenance'!65:65,"AAAAAH39tQU=",0)</f>
        <v>0</v>
      </c>
      <c r="G28" t="e">
        <f>AND('Reference Form, Maintenance'!A65,"AAAAAH39tQY=")</f>
        <v>#VALUE!</v>
      </c>
      <c r="H28">
        <f>IF('Reference Form, Maintenance'!66:66,"AAAAAH39tQc=",0)</f>
        <v>0</v>
      </c>
      <c r="I28" t="e">
        <f>AND('Reference Form, Maintenance'!A66,"AAAAAH39tQg=")</f>
        <v>#VALUE!</v>
      </c>
      <c r="J28">
        <f>IF('Reference Form, Maintenance'!67:67,"AAAAAH39tQk=",0)</f>
        <v>0</v>
      </c>
      <c r="K28" t="e">
        <f>AND('Reference Form, Maintenance'!A67,"AAAAAH39tQo=")</f>
        <v>#VALUE!</v>
      </c>
      <c r="L28">
        <f>IF('Reference Form, Maintenance'!68:68,"AAAAAH39tQs=",0)</f>
        <v>0</v>
      </c>
      <c r="M28" t="e">
        <f>AND('Reference Form, Maintenance'!A68,"AAAAAH39tQw=")</f>
        <v>#VALUE!</v>
      </c>
      <c r="N28">
        <f>IF('Reference Form, Maintenance'!69:69,"AAAAAH39tQ0=",0)</f>
        <v>0</v>
      </c>
      <c r="O28" t="e">
        <f>AND('Reference Form, Maintenance'!A69,"AAAAAH39tQ4=")</f>
        <v>#VALUE!</v>
      </c>
      <c r="P28">
        <f>IF('Reference Form, Maintenance'!70:70,"AAAAAH39tQ8=",0)</f>
        <v>0</v>
      </c>
      <c r="Q28" t="e">
        <f>AND('Reference Form, Maintenance'!A70,"AAAAAH39tRA=")</f>
        <v>#VALUE!</v>
      </c>
      <c r="R28">
        <f>IF('Reference Form, Maintenance'!71:71,"AAAAAH39tRE=",0)</f>
        <v>0</v>
      </c>
      <c r="S28" t="e">
        <f>AND('Reference Form, Maintenance'!A71,"AAAAAH39tRI=")</f>
        <v>#VALUE!</v>
      </c>
      <c r="T28">
        <f>IF('Reference Form, Maintenance'!72:72,"AAAAAH39tRM=",0)</f>
        <v>0</v>
      </c>
      <c r="U28" t="e">
        <f>AND('Reference Form, Maintenance'!A72,"AAAAAH39tRQ=")</f>
        <v>#VALUE!</v>
      </c>
      <c r="V28">
        <f>IF('Reference Form, Maintenance'!73:73,"AAAAAH39tRU=",0)</f>
        <v>0</v>
      </c>
      <c r="W28" t="e">
        <f>AND('Reference Form, Maintenance'!A73,"AAAAAH39tRY=")</f>
        <v>#VALUE!</v>
      </c>
      <c r="X28">
        <f>IF('Reference Form, Maintenance'!74:74,"AAAAAH39tRc=",0)</f>
        <v>0</v>
      </c>
      <c r="Y28" t="e">
        <f>AND('Reference Form, Maintenance'!A74,"AAAAAH39tRg=")</f>
        <v>#VALUE!</v>
      </c>
      <c r="Z28">
        <f>IF('Reference Form, Maintenance'!75:75,"AAAAAH39tRk=",0)</f>
        <v>0</v>
      </c>
      <c r="AA28" t="e">
        <f>AND('Reference Form, Maintenance'!A75,"AAAAAH39tRo=")</f>
        <v>#VALUE!</v>
      </c>
      <c r="AB28">
        <f>IF('Reference Form, Maintenance'!76:76,"AAAAAH39tRs=",0)</f>
        <v>0</v>
      </c>
      <c r="AC28" t="e">
        <f>AND('Reference Form, Maintenance'!A76,"AAAAAH39tRw=")</f>
        <v>#VALUE!</v>
      </c>
      <c r="AD28">
        <f>IF('Reference Form, Maintenance'!77:77,"AAAAAH39tR0=",0)</f>
        <v>0</v>
      </c>
      <c r="AE28" t="e">
        <f>AND('Reference Form, Maintenance'!A77,"AAAAAH39tR4=")</f>
        <v>#VALUE!</v>
      </c>
      <c r="AF28">
        <f>IF('Reference Form, Maintenance'!78:78,"AAAAAH39tR8=",0)</f>
        <v>0</v>
      </c>
      <c r="AG28" t="e">
        <f>AND('Reference Form, Maintenance'!A78,"AAAAAH39tSA=")</f>
        <v>#VALUE!</v>
      </c>
      <c r="AH28">
        <f>IF('Reference Form, Maintenance'!79:79,"AAAAAH39tSE=",0)</f>
        <v>0</v>
      </c>
      <c r="AI28" t="e">
        <f>AND('Reference Form, Maintenance'!A79,"AAAAAH39tSI=")</f>
        <v>#VALUE!</v>
      </c>
      <c r="AJ28">
        <f>IF('Reference Form, Maintenance'!80:80,"AAAAAH39tSM=",0)</f>
        <v>0</v>
      </c>
      <c r="AK28" t="e">
        <f>AND('Reference Form, Maintenance'!A80,"AAAAAH39tSQ=")</f>
        <v>#VALUE!</v>
      </c>
      <c r="AL28">
        <f>IF('Reference Form, Maintenance'!81:81,"AAAAAH39tSU=",0)</f>
        <v>0</v>
      </c>
      <c r="AM28" t="e">
        <f>AND('Reference Form, Maintenance'!A81,"AAAAAH39tSY=")</f>
        <v>#VALUE!</v>
      </c>
      <c r="AN28">
        <f>IF('Reference Form, Maintenance'!82:82,"AAAAAH39tSc=",0)</f>
        <v>0</v>
      </c>
      <c r="AO28" t="e">
        <f>AND('Reference Form, Maintenance'!A82,"AAAAAH39tSg=")</f>
        <v>#VALUE!</v>
      </c>
      <c r="AP28">
        <f>IF('Reference Form, Maintenance'!83:83,"AAAAAH39tSk=",0)</f>
        <v>0</v>
      </c>
      <c r="AQ28" t="e">
        <f>AND('Reference Form, Maintenance'!A83,"AAAAAH39tSo=")</f>
        <v>#VALUE!</v>
      </c>
      <c r="AR28">
        <f>IF('Reference Form, Maintenance'!84:84,"AAAAAH39tSs=",0)</f>
        <v>0</v>
      </c>
      <c r="AS28" t="e">
        <f>AND('Reference Form, Maintenance'!A84,"AAAAAH39tSw=")</f>
        <v>#VALUE!</v>
      </c>
      <c r="AT28">
        <f>IF('Reference Form, Maintenance'!85:85,"AAAAAH39tS0=",0)</f>
        <v>0</v>
      </c>
      <c r="AU28" t="e">
        <f>AND('Reference Form, Maintenance'!A85,"AAAAAH39tS4=")</f>
        <v>#VALUE!</v>
      </c>
      <c r="AV28">
        <f>IF('Reference Form, Maintenance'!86:86,"AAAAAH39tS8=",0)</f>
        <v>0</v>
      </c>
      <c r="AW28" t="e">
        <f>AND('Reference Form, Maintenance'!A86,"AAAAAH39tTA=")</f>
        <v>#VALUE!</v>
      </c>
      <c r="AX28">
        <f>IF('Reference Form, Maintenance'!87:87,"AAAAAH39tTE=",0)</f>
        <v>0</v>
      </c>
      <c r="AY28" t="e">
        <f>AND('Reference Form, Maintenance'!A87,"AAAAAH39tTI=")</f>
        <v>#VALUE!</v>
      </c>
      <c r="AZ28">
        <f>IF('Reference Form, Maintenance'!88:88,"AAAAAH39tTM=",0)</f>
        <v>0</v>
      </c>
      <c r="BA28" t="e">
        <f>AND('Reference Form, Maintenance'!A88,"AAAAAH39tTQ=")</f>
        <v>#VALUE!</v>
      </c>
      <c r="BB28">
        <f>IF('Reference Form, Maintenance'!89:89,"AAAAAH39tTU=",0)</f>
        <v>0</v>
      </c>
      <c r="BC28" t="e">
        <f>AND('Reference Form, Maintenance'!A89,"AAAAAH39tTY=")</f>
        <v>#VALUE!</v>
      </c>
      <c r="BD28">
        <f>IF('Reference Form, Maintenance'!90:90,"AAAAAH39tTc=",0)</f>
        <v>0</v>
      </c>
      <c r="BE28" t="e">
        <f>AND('Reference Form, Maintenance'!A90,"AAAAAH39tTg=")</f>
        <v>#VALUE!</v>
      </c>
      <c r="BF28">
        <f>IF('Reference Form, Maintenance'!91:91,"AAAAAH39tTk=",0)</f>
        <v>0</v>
      </c>
      <c r="BG28" t="e">
        <f>AND('Reference Form, Maintenance'!A91,"AAAAAH39tTo=")</f>
        <v>#VALUE!</v>
      </c>
      <c r="BH28">
        <f>IF('Reference Form, Maintenance'!92:92,"AAAAAH39tTs=",0)</f>
        <v>0</v>
      </c>
      <c r="BI28" t="e">
        <f>AND('Reference Form, Maintenance'!A92,"AAAAAH39tTw=")</f>
        <v>#VALUE!</v>
      </c>
      <c r="BJ28">
        <f>IF('Reference Form, Maintenance'!93:93,"AAAAAH39tT0=",0)</f>
        <v>0</v>
      </c>
      <c r="BK28" t="e">
        <f>AND('Reference Form, Maintenance'!A93,"AAAAAH39tT4=")</f>
        <v>#VALUE!</v>
      </c>
      <c r="BL28">
        <f>IF('Reference Form, Maintenance'!94:94,"AAAAAH39tT8=",0)</f>
        <v>0</v>
      </c>
      <c r="BM28" t="e">
        <f>AND('Reference Form, Maintenance'!A94,"AAAAAH39tUA=")</f>
        <v>#VALUE!</v>
      </c>
      <c r="BN28">
        <f>IF('Reference Form, Maintenance'!95:95,"AAAAAH39tUE=",0)</f>
        <v>0</v>
      </c>
      <c r="BO28" t="e">
        <f>AND('Reference Form, Maintenance'!A95,"AAAAAH39tUI=")</f>
        <v>#VALUE!</v>
      </c>
      <c r="BP28">
        <f>IF('Reference Form, Maintenance'!96:96,"AAAAAH39tUM=",0)</f>
        <v>0</v>
      </c>
      <c r="BQ28" t="e">
        <f>AND('Reference Form, Maintenance'!A96,"AAAAAH39tUQ=")</f>
        <v>#VALUE!</v>
      </c>
      <c r="BR28">
        <f>IF('Reference Form, Maintenance'!97:97,"AAAAAH39tUU=",0)</f>
        <v>0</v>
      </c>
      <c r="BS28" t="e">
        <f>AND('Reference Form, Maintenance'!A97,"AAAAAH39tUY=")</f>
        <v>#VALUE!</v>
      </c>
      <c r="BT28">
        <f>IF('Reference Form, Maintenance'!98:98,"AAAAAH39tUc=",0)</f>
        <v>0</v>
      </c>
      <c r="BU28" t="e">
        <f>AND('Reference Form, Maintenance'!A98,"AAAAAH39tUg=")</f>
        <v>#VALUE!</v>
      </c>
      <c r="BV28">
        <f>IF('Reference Form, Maintenance'!99:99,"AAAAAH39tUk=",0)</f>
        <v>0</v>
      </c>
      <c r="BW28" t="e">
        <f>AND('Reference Form, Maintenance'!A99,"AAAAAH39tUo=")</f>
        <v>#VALUE!</v>
      </c>
      <c r="BX28">
        <f>IF('Reference Form, Maintenance'!100:100,"AAAAAH39tUs=",0)</f>
        <v>0</v>
      </c>
      <c r="BY28" t="e">
        <f>AND('Reference Form, Maintenance'!A100,"AAAAAH39tUw=")</f>
        <v>#VALUE!</v>
      </c>
      <c r="BZ28">
        <f>IF('Reference Form, Maintenance'!101:101,"AAAAAH39tU0=",0)</f>
        <v>0</v>
      </c>
      <c r="CA28" t="e">
        <f>AND('Reference Form, Maintenance'!A101,"AAAAAH39tU4=")</f>
        <v>#VALUE!</v>
      </c>
      <c r="CB28">
        <f>IF('Reference Form, Maintenance'!102:102,"AAAAAH39tU8=",0)</f>
        <v>0</v>
      </c>
      <c r="CC28" t="e">
        <f>AND('Reference Form, Maintenance'!A102,"AAAAAH39tVA=")</f>
        <v>#VALUE!</v>
      </c>
      <c r="CD28">
        <f>IF('Reference Form, Maintenance'!103:103,"AAAAAH39tVE=",0)</f>
        <v>0</v>
      </c>
      <c r="CE28" t="e">
        <f>AND('Reference Form, Maintenance'!A103,"AAAAAH39tVI=")</f>
        <v>#VALUE!</v>
      </c>
      <c r="CF28">
        <f>IF('Reference Form, Maintenance'!104:104,"AAAAAH39tVM=",0)</f>
        <v>0</v>
      </c>
      <c r="CG28" t="e">
        <f>AND('Reference Form, Maintenance'!A104,"AAAAAH39tVQ=")</f>
        <v>#VALUE!</v>
      </c>
      <c r="CH28">
        <f>IF('Reference Form, Maintenance'!105:105,"AAAAAH39tVU=",0)</f>
        <v>0</v>
      </c>
      <c r="CI28" t="e">
        <f>AND('Reference Form, Maintenance'!A105,"AAAAAH39tVY=")</f>
        <v>#VALUE!</v>
      </c>
      <c r="CJ28">
        <f>IF('Reference Form, Maintenance'!106:106,"AAAAAH39tVc=",0)</f>
        <v>0</v>
      </c>
      <c r="CK28" t="e">
        <f>AND('Reference Form, Maintenance'!A106,"AAAAAH39tVg=")</f>
        <v>#VALUE!</v>
      </c>
      <c r="CL28">
        <f>IF('Reference Form, Maintenance'!107:107,"AAAAAH39tVk=",0)</f>
        <v>0</v>
      </c>
      <c r="CM28" t="e">
        <f>AND('Reference Form, Maintenance'!A107,"AAAAAH39tVo=")</f>
        <v>#VALUE!</v>
      </c>
      <c r="CN28">
        <f>IF('Reference Form, Maintenance'!108:108,"AAAAAH39tVs=",0)</f>
        <v>0</v>
      </c>
      <c r="CO28" t="e">
        <f>AND('Reference Form, Maintenance'!A108,"AAAAAH39tVw=")</f>
        <v>#VALUE!</v>
      </c>
      <c r="CP28">
        <f>IF('Reference Form, Maintenance'!109:109,"AAAAAH39tV0=",0)</f>
        <v>0</v>
      </c>
      <c r="CQ28" t="e">
        <f>AND('Reference Form, Maintenance'!A109,"AAAAAH39tV4=")</f>
        <v>#VALUE!</v>
      </c>
      <c r="CR28">
        <f>IF('Reference Form, Maintenance'!110:110,"AAAAAH39tV8=",0)</f>
        <v>0</v>
      </c>
      <c r="CS28" t="e">
        <f>AND('Reference Form, Maintenance'!A110,"AAAAAH39tWA=")</f>
        <v>#VALUE!</v>
      </c>
      <c r="CT28" t="e">
        <f>IF('Reference Form, Maintenance'!A:A,"AAAAAH39tWE=",0)</f>
        <v>#VALUE!</v>
      </c>
      <c r="CU28">
        <f>IF('Reference Form, Maintenance'!B:B,"AAAAAH39tWI=",0)</f>
        <v>0</v>
      </c>
      <c r="CV28">
        <f>IF('Reference Form, Maintenance'!C:C,"AAAAAH39tWM=",0)</f>
        <v>0</v>
      </c>
      <c r="CW28">
        <f>IF('Reference Form, Maintenance'!D:D,"AAAAAH39tWQ=",0)</f>
        <v>0</v>
      </c>
      <c r="CX28">
        <f>IF('Reference Form, Maintenance'!E:E,"AAAAAH39tWU=",0)</f>
        <v>0</v>
      </c>
      <c r="CY28">
        <f>IF('Reference Form, Maintenance'!F:F,"AAAAAH39tWY=",0)</f>
        <v>0</v>
      </c>
      <c r="CZ28">
        <f>IF('Reference Form, Maintenance'!G:G,"AAAAAH39tWc=",0)</f>
        <v>0</v>
      </c>
      <c r="DA28">
        <f>IF('Reference Form, Maintenance'!H:H,"AAAAAH39tWg=",0)</f>
        <v>0</v>
      </c>
      <c r="DB28">
        <f>IF('Reference Form'!1:1,"AAAAAH39tWk=",0)</f>
        <v>0</v>
      </c>
      <c r="DC28" t="e">
        <f>AND('Reference Form'!A1,"AAAAAH39tWo=")</f>
        <v>#VALUE!</v>
      </c>
      <c r="DD28" t="e">
        <f>AND('Reference Form'!B1,"AAAAAH39tWs=")</f>
        <v>#VALUE!</v>
      </c>
      <c r="DE28" t="e">
        <f>AND('Reference Form'!C1,"AAAAAH39tWw=")</f>
        <v>#VALUE!</v>
      </c>
      <c r="DF28" t="e">
        <f>AND('Reference Form'!D1,"AAAAAH39tW0=")</f>
        <v>#VALUE!</v>
      </c>
      <c r="DG28" t="e">
        <f>AND('Reference Form'!E1,"AAAAAH39tW4=")</f>
        <v>#VALUE!</v>
      </c>
      <c r="DH28" t="e">
        <f>AND('Reference Form'!F1,"AAAAAH39tW8=")</f>
        <v>#VALUE!</v>
      </c>
      <c r="DI28" t="e">
        <f>AND('Reference Form'!G1,"AAAAAH39tXA=")</f>
        <v>#VALUE!</v>
      </c>
      <c r="DJ28" t="e">
        <f>AND('Reference Form'!H1,"AAAAAH39tXE=")</f>
        <v>#VALUE!</v>
      </c>
      <c r="DK28">
        <f>IF('Reference Form'!2:2,"AAAAAH39tXI=",0)</f>
        <v>0</v>
      </c>
      <c r="DL28" t="e">
        <f>AND('Reference Form'!A2,"AAAAAH39tXM=")</f>
        <v>#VALUE!</v>
      </c>
      <c r="DM28" t="e">
        <f>AND('Reference Form'!B2,"AAAAAH39tXQ=")</f>
        <v>#VALUE!</v>
      </c>
      <c r="DN28" t="e">
        <f>AND('Reference Form'!C2,"AAAAAH39tXU=")</f>
        <v>#VALUE!</v>
      </c>
      <c r="DO28" t="e">
        <f>AND('Reference Form'!D2,"AAAAAH39tXY=")</f>
        <v>#VALUE!</v>
      </c>
      <c r="DP28" t="e">
        <f>AND('Reference Form'!E2,"AAAAAH39tXc=")</f>
        <v>#VALUE!</v>
      </c>
      <c r="DQ28" t="e">
        <f>AND('Reference Form'!F2,"AAAAAH39tXg=")</f>
        <v>#VALUE!</v>
      </c>
      <c r="DR28" t="e">
        <f>AND('Reference Form'!G2,"AAAAAH39tXk=")</f>
        <v>#VALUE!</v>
      </c>
      <c r="DS28" t="e">
        <f>AND('Reference Form'!H2,"AAAAAH39tXo=")</f>
        <v>#VALUE!</v>
      </c>
      <c r="DT28">
        <f>IF('Reference Form'!3:3,"AAAAAH39tXs=",0)</f>
        <v>0</v>
      </c>
      <c r="DU28" t="e">
        <f>AND('Reference Form'!A3,"AAAAAH39tXw=")</f>
        <v>#VALUE!</v>
      </c>
      <c r="DV28" t="e">
        <f>AND('Reference Form'!B3,"AAAAAH39tX0=")</f>
        <v>#VALUE!</v>
      </c>
      <c r="DW28" t="e">
        <f>AND('Reference Form'!C3,"AAAAAH39tX4=")</f>
        <v>#VALUE!</v>
      </c>
      <c r="DX28" t="e">
        <f>AND('Reference Form'!D3,"AAAAAH39tX8=")</f>
        <v>#VALUE!</v>
      </c>
      <c r="DY28" t="e">
        <f>AND('Reference Form'!E3,"AAAAAH39tYA=")</f>
        <v>#VALUE!</v>
      </c>
      <c r="DZ28" t="e">
        <f>AND('Reference Form'!F3,"AAAAAH39tYE=")</f>
        <v>#VALUE!</v>
      </c>
      <c r="EA28" t="e">
        <f>AND('Reference Form'!G3,"AAAAAH39tYI=")</f>
        <v>#VALUE!</v>
      </c>
      <c r="EB28" t="e">
        <f>AND('Reference Form'!H3,"AAAAAH39tYM=")</f>
        <v>#VALUE!</v>
      </c>
      <c r="EC28">
        <f>IF('Reference Form'!4:4,"AAAAAH39tYQ=",0)</f>
        <v>0</v>
      </c>
      <c r="ED28" t="e">
        <f>AND('Reference Form'!A4,"AAAAAH39tYU=")</f>
        <v>#VALUE!</v>
      </c>
      <c r="EE28" t="e">
        <f>AND('Reference Form'!B4,"AAAAAH39tYY=")</f>
        <v>#VALUE!</v>
      </c>
      <c r="EF28" t="e">
        <f>AND('Reference Form'!C4,"AAAAAH39tYc=")</f>
        <v>#VALUE!</v>
      </c>
      <c r="EG28" t="e">
        <f>AND('Reference Form'!D4,"AAAAAH39tYg=")</f>
        <v>#VALUE!</v>
      </c>
      <c r="EH28" t="e">
        <f>AND('Reference Form'!E4,"AAAAAH39tYk=")</f>
        <v>#VALUE!</v>
      </c>
      <c r="EI28" t="e">
        <f>AND('Reference Form'!F4,"AAAAAH39tYo=")</f>
        <v>#VALUE!</v>
      </c>
      <c r="EJ28" t="e">
        <f>AND('Reference Form'!G4,"AAAAAH39tYs=")</f>
        <v>#VALUE!</v>
      </c>
      <c r="EK28" t="e">
        <f>AND('Reference Form'!H4,"AAAAAH39tYw=")</f>
        <v>#VALUE!</v>
      </c>
      <c r="EL28">
        <f>IF('Reference Form'!5:5,"AAAAAH39tY0=",0)</f>
        <v>0</v>
      </c>
      <c r="EM28" t="e">
        <f>AND('Reference Form'!A5,"AAAAAH39tY4=")</f>
        <v>#VALUE!</v>
      </c>
      <c r="EN28" t="e">
        <f>AND('Reference Form'!B5,"AAAAAH39tY8=")</f>
        <v>#VALUE!</v>
      </c>
      <c r="EO28" t="e">
        <f>AND('Reference Form'!C5,"AAAAAH39tZA=")</f>
        <v>#VALUE!</v>
      </c>
      <c r="EP28" t="e">
        <f>AND('Reference Form'!D5,"AAAAAH39tZE=")</f>
        <v>#VALUE!</v>
      </c>
      <c r="EQ28" t="e">
        <f>AND('Reference Form'!E5,"AAAAAH39tZI=")</f>
        <v>#VALUE!</v>
      </c>
      <c r="ER28" t="e">
        <f>AND('Reference Form'!F5,"AAAAAH39tZM=")</f>
        <v>#VALUE!</v>
      </c>
      <c r="ES28" t="e">
        <f>AND('Reference Form'!G5,"AAAAAH39tZQ=")</f>
        <v>#VALUE!</v>
      </c>
      <c r="ET28" t="e">
        <f>AND('Reference Form'!H5,"AAAAAH39tZU=")</f>
        <v>#VALUE!</v>
      </c>
      <c r="EU28">
        <f>IF('Reference Form'!6:6,"AAAAAH39tZY=",0)</f>
        <v>0</v>
      </c>
      <c r="EV28" t="e">
        <f>AND('Reference Form'!A6,"AAAAAH39tZc=")</f>
        <v>#VALUE!</v>
      </c>
      <c r="EW28" t="e">
        <f>AND('Reference Form'!B6,"AAAAAH39tZg=")</f>
        <v>#VALUE!</v>
      </c>
      <c r="EX28" t="e">
        <f>AND('Reference Form'!C6,"AAAAAH39tZk=")</f>
        <v>#VALUE!</v>
      </c>
      <c r="EY28" t="e">
        <f>AND('Reference Form'!D6,"AAAAAH39tZo=")</f>
        <v>#VALUE!</v>
      </c>
      <c r="EZ28" t="e">
        <f>AND('Reference Form'!E6,"AAAAAH39tZs=")</f>
        <v>#VALUE!</v>
      </c>
      <c r="FA28" t="e">
        <f>AND('Reference Form'!F6,"AAAAAH39tZw=")</f>
        <v>#VALUE!</v>
      </c>
      <c r="FB28" t="e">
        <f>AND('Reference Form'!G6,"AAAAAH39tZ0=")</f>
        <v>#VALUE!</v>
      </c>
      <c r="FC28" t="e">
        <f>AND('Reference Form'!H6,"AAAAAH39tZ4=")</f>
        <v>#VALUE!</v>
      </c>
      <c r="FD28">
        <f>IF('Reference Form'!7:7,"AAAAAH39tZ8=",0)</f>
        <v>0</v>
      </c>
      <c r="FE28" t="e">
        <f>AND('Reference Form'!A7,"AAAAAH39taA=")</f>
        <v>#VALUE!</v>
      </c>
      <c r="FF28" t="e">
        <f>AND('Reference Form'!B7,"AAAAAH39taE=")</f>
        <v>#VALUE!</v>
      </c>
      <c r="FG28" t="e">
        <f>AND('Reference Form'!C7,"AAAAAH39taI=")</f>
        <v>#VALUE!</v>
      </c>
      <c r="FH28" t="e">
        <f>AND('Reference Form'!D7,"AAAAAH39taM=")</f>
        <v>#VALUE!</v>
      </c>
      <c r="FI28" t="e">
        <f>AND('Reference Form'!E7,"AAAAAH39taQ=")</f>
        <v>#VALUE!</v>
      </c>
      <c r="FJ28" t="e">
        <f>AND('Reference Form'!F7,"AAAAAH39taU=")</f>
        <v>#VALUE!</v>
      </c>
      <c r="FK28" t="e">
        <f>AND('Reference Form'!G7,"AAAAAH39taY=")</f>
        <v>#VALUE!</v>
      </c>
      <c r="FL28" t="e">
        <f>AND('Reference Form'!H7,"AAAAAH39tac=")</f>
        <v>#VALUE!</v>
      </c>
      <c r="FM28">
        <f>IF('Reference Form'!8:8,"AAAAAH39tag=",0)</f>
        <v>0</v>
      </c>
      <c r="FN28" t="e">
        <f>AND('Reference Form'!A8,"AAAAAH39tak=")</f>
        <v>#VALUE!</v>
      </c>
      <c r="FO28" t="e">
        <f>AND('Reference Form'!B8,"AAAAAH39tao=")</f>
        <v>#VALUE!</v>
      </c>
      <c r="FP28" t="e">
        <f>AND('Reference Form'!C8,"AAAAAH39tas=")</f>
        <v>#VALUE!</v>
      </c>
      <c r="FQ28" t="e">
        <f>AND('Reference Form'!D8,"AAAAAH39taw=")</f>
        <v>#VALUE!</v>
      </c>
      <c r="FR28" t="e">
        <f>AND('Reference Form'!E8,"AAAAAH39ta0=")</f>
        <v>#VALUE!</v>
      </c>
      <c r="FS28" t="e">
        <f>AND('Reference Form'!F8,"AAAAAH39ta4=")</f>
        <v>#VALUE!</v>
      </c>
      <c r="FT28" t="e">
        <f>AND('Reference Form'!G8,"AAAAAH39ta8=")</f>
        <v>#VALUE!</v>
      </c>
      <c r="FU28" t="e">
        <f>AND('Reference Form'!H8,"AAAAAH39tbA=")</f>
        <v>#VALUE!</v>
      </c>
      <c r="FV28">
        <f>IF('Reference Form'!9:9,"AAAAAH39tbE=",0)</f>
        <v>0</v>
      </c>
      <c r="FW28" t="e">
        <f>AND('Reference Form'!A9,"AAAAAH39tbI=")</f>
        <v>#VALUE!</v>
      </c>
      <c r="FX28" t="e">
        <f>AND('Reference Form'!B9,"AAAAAH39tbM=")</f>
        <v>#VALUE!</v>
      </c>
      <c r="FY28" t="e">
        <f>AND('Reference Form'!C9,"AAAAAH39tbQ=")</f>
        <v>#VALUE!</v>
      </c>
      <c r="FZ28" t="e">
        <f>AND('Reference Form'!D9,"AAAAAH39tbU=")</f>
        <v>#VALUE!</v>
      </c>
      <c r="GA28" t="e">
        <f>AND('Reference Form'!E9,"AAAAAH39tbY=")</f>
        <v>#VALUE!</v>
      </c>
      <c r="GB28" t="e">
        <f>AND('Reference Form'!F9,"AAAAAH39tbc=")</f>
        <v>#VALUE!</v>
      </c>
      <c r="GC28" t="e">
        <f>AND('Reference Form'!G9,"AAAAAH39tbg=")</f>
        <v>#VALUE!</v>
      </c>
      <c r="GD28" t="e">
        <f>AND('Reference Form'!H9,"AAAAAH39tbk=")</f>
        <v>#VALUE!</v>
      </c>
      <c r="GE28">
        <f>IF('Reference Form'!10:10,"AAAAAH39tbo=",0)</f>
        <v>0</v>
      </c>
      <c r="GF28" t="e">
        <f>AND('Reference Form'!A10,"AAAAAH39tbs=")</f>
        <v>#VALUE!</v>
      </c>
      <c r="GG28" t="e">
        <f>AND('Reference Form'!B10,"AAAAAH39tbw=")</f>
        <v>#VALUE!</v>
      </c>
      <c r="GH28" t="e">
        <f>AND('Reference Form'!C10,"AAAAAH39tb0=")</f>
        <v>#VALUE!</v>
      </c>
      <c r="GI28" t="e">
        <f>AND('Reference Form'!D10,"AAAAAH39tb4=")</f>
        <v>#VALUE!</v>
      </c>
      <c r="GJ28" t="e">
        <f>AND('Reference Form'!E10,"AAAAAH39tb8=")</f>
        <v>#VALUE!</v>
      </c>
      <c r="GK28" t="e">
        <f>AND('Reference Form'!F10,"AAAAAH39tcA=")</f>
        <v>#VALUE!</v>
      </c>
      <c r="GL28" t="e">
        <f>AND('Reference Form'!G10,"AAAAAH39tcE=")</f>
        <v>#VALUE!</v>
      </c>
      <c r="GM28" t="e">
        <f>AND('Reference Form'!H10,"AAAAAH39tcI=")</f>
        <v>#VALUE!</v>
      </c>
      <c r="GN28">
        <f>IF('Reference Form'!11:11,"AAAAAH39tcM=",0)</f>
        <v>0</v>
      </c>
      <c r="GO28" t="e">
        <f>AND('Reference Form'!A11,"AAAAAH39tcQ=")</f>
        <v>#VALUE!</v>
      </c>
      <c r="GP28" t="e">
        <f>AND('Reference Form'!B11,"AAAAAH39tcU=")</f>
        <v>#VALUE!</v>
      </c>
      <c r="GQ28" t="e">
        <f>AND('Reference Form'!C11,"AAAAAH39tcY=")</f>
        <v>#VALUE!</v>
      </c>
      <c r="GR28" t="e">
        <f>AND('Reference Form'!D11,"AAAAAH39tcc=")</f>
        <v>#VALUE!</v>
      </c>
      <c r="GS28" t="e">
        <f>AND('Reference Form'!E11,"AAAAAH39tcg=")</f>
        <v>#VALUE!</v>
      </c>
      <c r="GT28" t="e">
        <f>AND('Reference Form'!F11,"AAAAAH39tck=")</f>
        <v>#VALUE!</v>
      </c>
      <c r="GU28" t="e">
        <f>AND('Reference Form'!G11,"AAAAAH39tco=")</f>
        <v>#VALUE!</v>
      </c>
      <c r="GV28" t="e">
        <f>AND('Reference Form'!H11,"AAAAAH39tcs=")</f>
        <v>#VALUE!</v>
      </c>
      <c r="GW28">
        <f>IF('Reference Form'!12:12,"AAAAAH39tcw=",0)</f>
        <v>0</v>
      </c>
      <c r="GX28" t="e">
        <f>AND('Reference Form'!A12,"AAAAAH39tc0=")</f>
        <v>#VALUE!</v>
      </c>
      <c r="GY28" t="e">
        <f>AND('Reference Form'!B12,"AAAAAH39tc4=")</f>
        <v>#VALUE!</v>
      </c>
      <c r="GZ28" t="e">
        <f>AND('Reference Form'!C12,"AAAAAH39tc8=")</f>
        <v>#VALUE!</v>
      </c>
      <c r="HA28" t="e">
        <f>AND('Reference Form'!D12,"AAAAAH39tdA=")</f>
        <v>#VALUE!</v>
      </c>
      <c r="HB28" t="e">
        <f>AND('Reference Form'!E12,"AAAAAH39tdE=")</f>
        <v>#VALUE!</v>
      </c>
      <c r="HC28" t="e">
        <f>AND('Reference Form'!F12,"AAAAAH39tdI=")</f>
        <v>#VALUE!</v>
      </c>
      <c r="HD28" t="e">
        <f>AND('Reference Form'!G12,"AAAAAH39tdM=")</f>
        <v>#VALUE!</v>
      </c>
      <c r="HE28" t="e">
        <f>AND('Reference Form'!H12,"AAAAAH39tdQ=")</f>
        <v>#VALUE!</v>
      </c>
      <c r="HF28">
        <f>IF('Reference Form'!13:13,"AAAAAH39tdU=",0)</f>
        <v>0</v>
      </c>
      <c r="HG28" t="e">
        <f>AND('Reference Form'!A13,"AAAAAH39tdY=")</f>
        <v>#VALUE!</v>
      </c>
      <c r="HH28" t="e">
        <f>AND('Reference Form'!B13,"AAAAAH39tdc=")</f>
        <v>#VALUE!</v>
      </c>
      <c r="HI28" t="e">
        <f>AND('Reference Form'!C13,"AAAAAH39tdg=")</f>
        <v>#VALUE!</v>
      </c>
      <c r="HJ28" t="e">
        <f>AND('Reference Form'!D13,"AAAAAH39tdk=")</f>
        <v>#VALUE!</v>
      </c>
      <c r="HK28" t="e">
        <f>AND('Reference Form'!E13,"AAAAAH39tdo=")</f>
        <v>#VALUE!</v>
      </c>
      <c r="HL28" t="e">
        <f>AND('Reference Form'!F13,"AAAAAH39tds=")</f>
        <v>#VALUE!</v>
      </c>
      <c r="HM28" t="e">
        <f>AND('Reference Form'!G13,"AAAAAH39tdw=")</f>
        <v>#VALUE!</v>
      </c>
      <c r="HN28" t="e">
        <f>AND('Reference Form'!H13,"AAAAAH39td0=")</f>
        <v>#VALUE!</v>
      </c>
      <c r="HO28">
        <f>IF('Reference Form'!14:14,"AAAAAH39td4=",0)</f>
        <v>0</v>
      </c>
      <c r="HP28" t="e">
        <f>AND('Reference Form'!A14,"AAAAAH39td8=")</f>
        <v>#VALUE!</v>
      </c>
      <c r="HQ28" t="e">
        <f>AND('Reference Form'!B14,"AAAAAH39teA=")</f>
        <v>#VALUE!</v>
      </c>
      <c r="HR28" t="e">
        <f>AND('Reference Form'!C14,"AAAAAH39teE=")</f>
        <v>#VALUE!</v>
      </c>
      <c r="HS28" t="e">
        <f>AND('Reference Form'!D14,"AAAAAH39teI=")</f>
        <v>#VALUE!</v>
      </c>
      <c r="HT28" t="e">
        <f>AND('Reference Form'!E14,"AAAAAH39teM=")</f>
        <v>#VALUE!</v>
      </c>
      <c r="HU28" t="e">
        <f>AND('Reference Form'!F14,"AAAAAH39teQ=")</f>
        <v>#VALUE!</v>
      </c>
      <c r="HV28" t="e">
        <f>AND('Reference Form'!G14,"AAAAAH39teU=")</f>
        <v>#VALUE!</v>
      </c>
      <c r="HW28" t="e">
        <f>AND('Reference Form'!H14,"AAAAAH39teY=")</f>
        <v>#VALUE!</v>
      </c>
      <c r="HX28">
        <f>IF('Reference Form'!15:15,"AAAAAH39tec=",0)</f>
        <v>0</v>
      </c>
      <c r="HY28" t="e">
        <f>AND('Reference Form'!A15,"AAAAAH39teg=")</f>
        <v>#VALUE!</v>
      </c>
      <c r="HZ28" t="e">
        <f>AND('Reference Form'!B15,"AAAAAH39tek=")</f>
        <v>#VALUE!</v>
      </c>
      <c r="IA28" t="e">
        <f>AND('Reference Form'!C15,"AAAAAH39teo=")</f>
        <v>#VALUE!</v>
      </c>
      <c r="IB28" t="e">
        <f>AND('Reference Form'!D15,"AAAAAH39tes=")</f>
        <v>#VALUE!</v>
      </c>
      <c r="IC28" t="e">
        <f>AND('Reference Form'!E15,"AAAAAH39tew=")</f>
        <v>#VALUE!</v>
      </c>
      <c r="ID28" t="e">
        <f>AND('Reference Form'!F15,"AAAAAH39te0=")</f>
        <v>#VALUE!</v>
      </c>
      <c r="IE28" t="e">
        <f>AND('Reference Form'!G15,"AAAAAH39te4=")</f>
        <v>#VALUE!</v>
      </c>
      <c r="IF28" t="e">
        <f>AND('Reference Form'!H15,"AAAAAH39te8=")</f>
        <v>#VALUE!</v>
      </c>
      <c r="IG28">
        <f>IF('Reference Form'!16:16,"AAAAAH39tfA=",0)</f>
        <v>0</v>
      </c>
      <c r="IH28" t="e">
        <f>AND('Reference Form'!A16,"AAAAAH39tfE=")</f>
        <v>#VALUE!</v>
      </c>
      <c r="II28" t="e">
        <f>AND('Reference Form'!B16,"AAAAAH39tfI=")</f>
        <v>#VALUE!</v>
      </c>
      <c r="IJ28" t="e">
        <f>AND('Reference Form'!C16,"AAAAAH39tfM=")</f>
        <v>#VALUE!</v>
      </c>
      <c r="IK28" t="e">
        <f>AND('Reference Form'!D16,"AAAAAH39tfQ=")</f>
        <v>#VALUE!</v>
      </c>
      <c r="IL28" t="e">
        <f>AND('Reference Form'!E16,"AAAAAH39tfU=")</f>
        <v>#VALUE!</v>
      </c>
      <c r="IM28" t="e">
        <f>AND('Reference Form'!F16,"AAAAAH39tfY=")</f>
        <v>#VALUE!</v>
      </c>
      <c r="IN28" t="e">
        <f>AND('Reference Form'!G16,"AAAAAH39tfc=")</f>
        <v>#VALUE!</v>
      </c>
      <c r="IO28" t="e">
        <f>AND('Reference Form'!H16,"AAAAAH39tfg=")</f>
        <v>#VALUE!</v>
      </c>
      <c r="IP28">
        <f>IF('Reference Form'!17:17,"AAAAAH39tfk=",0)</f>
        <v>0</v>
      </c>
      <c r="IQ28" t="e">
        <f>AND('Reference Form'!A17,"AAAAAH39tfo=")</f>
        <v>#VALUE!</v>
      </c>
      <c r="IR28" t="e">
        <f>AND('Reference Form'!B17,"AAAAAH39tfs=")</f>
        <v>#VALUE!</v>
      </c>
      <c r="IS28" t="e">
        <f>AND('Reference Form'!C17,"AAAAAH39tfw=")</f>
        <v>#VALUE!</v>
      </c>
      <c r="IT28" t="e">
        <f>AND('Reference Form'!D17,"AAAAAH39tf0=")</f>
        <v>#VALUE!</v>
      </c>
      <c r="IU28" t="e">
        <f>AND('Reference Form'!E17,"AAAAAH39tf4=")</f>
        <v>#VALUE!</v>
      </c>
      <c r="IV28" t="e">
        <f>AND('Reference Form'!F17,"AAAAAH39tf8=")</f>
        <v>#VALUE!</v>
      </c>
    </row>
    <row r="29" spans="1:256" ht="12.75">
      <c r="A29" t="e">
        <f>AND('Reference Form'!G17,"AAAAAF63/wA=")</f>
        <v>#VALUE!</v>
      </c>
      <c r="B29" t="e">
        <f>AND('Reference Form'!H17,"AAAAAF63/wE=")</f>
        <v>#VALUE!</v>
      </c>
      <c r="C29">
        <f>IF('Reference Form'!18:18,"AAAAAF63/wI=",0)</f>
        <v>0</v>
      </c>
      <c r="D29" t="e">
        <f>AND('Reference Form'!A18,"AAAAAF63/wM=")</f>
        <v>#VALUE!</v>
      </c>
      <c r="E29" t="e">
        <f>AND('Reference Form'!B18,"AAAAAF63/wQ=")</f>
        <v>#VALUE!</v>
      </c>
      <c r="F29" t="e">
        <f>AND('Reference Form'!C18,"AAAAAF63/wU=")</f>
        <v>#VALUE!</v>
      </c>
      <c r="G29" t="e">
        <f>AND('Reference Form'!D18,"AAAAAF63/wY=")</f>
        <v>#VALUE!</v>
      </c>
      <c r="H29" t="e">
        <f>AND('Reference Form'!E18,"AAAAAF63/wc=")</f>
        <v>#VALUE!</v>
      </c>
      <c r="I29" t="e">
        <f>AND('Reference Form'!F18,"AAAAAF63/wg=")</f>
        <v>#VALUE!</v>
      </c>
      <c r="J29" t="e">
        <f>AND('Reference Form'!G18,"AAAAAF63/wk=")</f>
        <v>#VALUE!</v>
      </c>
      <c r="K29" t="e">
        <f>AND('Reference Form'!H18,"AAAAAF63/wo=")</f>
        <v>#VALUE!</v>
      </c>
      <c r="L29">
        <f>IF('Reference Form'!19:19,"AAAAAF63/ws=",0)</f>
        <v>0</v>
      </c>
      <c r="M29" t="e">
        <f>AND('Reference Form'!A19,"AAAAAF63/ww=")</f>
        <v>#VALUE!</v>
      </c>
      <c r="N29" t="e">
        <f>AND('Reference Form'!B19,"AAAAAF63/w0=")</f>
        <v>#VALUE!</v>
      </c>
      <c r="O29" t="e">
        <f>AND('Reference Form'!C19,"AAAAAF63/w4=")</f>
        <v>#VALUE!</v>
      </c>
      <c r="P29" t="e">
        <f>AND('Reference Form'!D19,"AAAAAF63/w8=")</f>
        <v>#VALUE!</v>
      </c>
      <c r="Q29" t="e">
        <f>AND('Reference Form'!E19,"AAAAAF63/xA=")</f>
        <v>#VALUE!</v>
      </c>
      <c r="R29" t="e">
        <f>AND('Reference Form'!F19,"AAAAAF63/xE=")</f>
        <v>#VALUE!</v>
      </c>
      <c r="S29" t="e">
        <f>AND('Reference Form'!G19,"AAAAAF63/xI=")</f>
        <v>#VALUE!</v>
      </c>
      <c r="T29" t="e">
        <f>AND('Reference Form'!H19,"AAAAAF63/xM=")</f>
        <v>#VALUE!</v>
      </c>
      <c r="U29">
        <f>IF('Reference Form'!20:20,"AAAAAF63/xQ=",0)</f>
        <v>0</v>
      </c>
      <c r="V29" t="e">
        <f>AND('Reference Form'!A20,"AAAAAF63/xU=")</f>
        <v>#VALUE!</v>
      </c>
      <c r="W29" t="e">
        <f>AND('Reference Form'!B20,"AAAAAF63/xY=")</f>
        <v>#VALUE!</v>
      </c>
      <c r="X29" t="e">
        <f>AND('Reference Form'!C20,"AAAAAF63/xc=")</f>
        <v>#VALUE!</v>
      </c>
      <c r="Y29" t="e">
        <f>AND('Reference Form'!D20,"AAAAAF63/xg=")</f>
        <v>#VALUE!</v>
      </c>
      <c r="Z29" t="e">
        <f>AND('Reference Form'!E20,"AAAAAF63/xk=")</f>
        <v>#VALUE!</v>
      </c>
      <c r="AA29" t="e">
        <f>AND('Reference Form'!F20,"AAAAAF63/xo=")</f>
        <v>#VALUE!</v>
      </c>
      <c r="AB29" t="e">
        <f>AND('Reference Form'!G20,"AAAAAF63/xs=")</f>
        <v>#VALUE!</v>
      </c>
      <c r="AC29" t="e">
        <f>AND('Reference Form'!H20,"AAAAAF63/xw=")</f>
        <v>#VALUE!</v>
      </c>
      <c r="AD29">
        <f>IF('Reference Form'!21:21,"AAAAAF63/x0=",0)</f>
        <v>0</v>
      </c>
      <c r="AE29" t="e">
        <f>AND('Reference Form'!A21,"AAAAAF63/x4=")</f>
        <v>#VALUE!</v>
      </c>
      <c r="AF29" t="e">
        <f>AND('Reference Form'!B21,"AAAAAF63/x8=")</f>
        <v>#VALUE!</v>
      </c>
      <c r="AG29" t="e">
        <f>AND('Reference Form'!C21,"AAAAAF63/yA=")</f>
        <v>#VALUE!</v>
      </c>
      <c r="AH29" t="e">
        <f>AND('Reference Form'!D21,"AAAAAF63/yE=")</f>
        <v>#VALUE!</v>
      </c>
      <c r="AI29" t="e">
        <f>AND('Reference Form'!E21,"AAAAAF63/yI=")</f>
        <v>#VALUE!</v>
      </c>
      <c r="AJ29" t="e">
        <f>AND('Reference Form'!F21,"AAAAAF63/yM=")</f>
        <v>#VALUE!</v>
      </c>
      <c r="AK29" t="e">
        <f>AND('Reference Form'!G21,"AAAAAF63/yQ=")</f>
        <v>#VALUE!</v>
      </c>
      <c r="AL29" t="e">
        <f>AND('Reference Form'!H21,"AAAAAF63/yU=")</f>
        <v>#VALUE!</v>
      </c>
      <c r="AM29">
        <f>IF('Reference Form'!22:22,"AAAAAF63/yY=",0)</f>
        <v>0</v>
      </c>
      <c r="AN29" t="e">
        <f>AND('Reference Form'!A22,"AAAAAF63/yc=")</f>
        <v>#VALUE!</v>
      </c>
      <c r="AO29" t="e">
        <f>AND('Reference Form'!B22,"AAAAAF63/yg=")</f>
        <v>#VALUE!</v>
      </c>
      <c r="AP29" t="e">
        <f>AND('Reference Form'!C22,"AAAAAF63/yk=")</f>
        <v>#VALUE!</v>
      </c>
      <c r="AQ29" t="e">
        <f>AND('Reference Form'!D22,"AAAAAF63/yo=")</f>
        <v>#VALUE!</v>
      </c>
      <c r="AR29" t="e">
        <f>AND('Reference Form'!E22,"AAAAAF63/ys=")</f>
        <v>#VALUE!</v>
      </c>
      <c r="AS29" t="e">
        <f>AND('Reference Form'!F22,"AAAAAF63/yw=")</f>
        <v>#VALUE!</v>
      </c>
      <c r="AT29" t="e">
        <f>AND('Reference Form'!G22,"AAAAAF63/y0=")</f>
        <v>#VALUE!</v>
      </c>
      <c r="AU29" t="e">
        <f>AND('Reference Form'!H22,"AAAAAF63/y4=")</f>
        <v>#VALUE!</v>
      </c>
      <c r="AV29">
        <f>IF('Reference Form'!23:23,"AAAAAF63/y8=",0)</f>
        <v>0</v>
      </c>
      <c r="AW29" t="e">
        <f>AND('Reference Form'!A23,"AAAAAF63/zA=")</f>
        <v>#VALUE!</v>
      </c>
      <c r="AX29" t="e">
        <f>AND('Reference Form'!B23,"AAAAAF63/zE=")</f>
        <v>#VALUE!</v>
      </c>
      <c r="AY29" t="e">
        <f>AND('Reference Form'!C23,"AAAAAF63/zI=")</f>
        <v>#VALUE!</v>
      </c>
      <c r="AZ29" t="e">
        <f>AND('Reference Form'!D23,"AAAAAF63/zM=")</f>
        <v>#VALUE!</v>
      </c>
      <c r="BA29" t="e">
        <f>AND('Reference Form'!E23,"AAAAAF63/zQ=")</f>
        <v>#VALUE!</v>
      </c>
      <c r="BB29" t="e">
        <f>AND('Reference Form'!F23,"AAAAAF63/zU=")</f>
        <v>#VALUE!</v>
      </c>
      <c r="BC29" t="e">
        <f>AND('Reference Form'!G23,"AAAAAF63/zY=")</f>
        <v>#VALUE!</v>
      </c>
      <c r="BD29" t="e">
        <f>AND('Reference Form'!H23,"AAAAAF63/zc=")</f>
        <v>#VALUE!</v>
      </c>
      <c r="BE29">
        <f>IF('Reference Form'!24:24,"AAAAAF63/zg=",0)</f>
        <v>0</v>
      </c>
      <c r="BF29" t="e">
        <f>AND('Reference Form'!A24,"AAAAAF63/zk=")</f>
        <v>#VALUE!</v>
      </c>
      <c r="BG29" t="e">
        <f>AND('Reference Form'!B24,"AAAAAF63/zo=")</f>
        <v>#VALUE!</v>
      </c>
      <c r="BH29" t="e">
        <f>AND('Reference Form'!C24,"AAAAAF63/zs=")</f>
        <v>#VALUE!</v>
      </c>
      <c r="BI29" t="e">
        <f>AND('Reference Form'!D24,"AAAAAF63/zw=")</f>
        <v>#VALUE!</v>
      </c>
      <c r="BJ29" t="e">
        <f>AND('Reference Form'!E24,"AAAAAF63/z0=")</f>
        <v>#VALUE!</v>
      </c>
      <c r="BK29" t="e">
        <f>AND('Reference Form'!F24,"AAAAAF63/z4=")</f>
        <v>#VALUE!</v>
      </c>
      <c r="BL29" t="e">
        <f>AND('Reference Form'!G24,"AAAAAF63/z8=")</f>
        <v>#VALUE!</v>
      </c>
      <c r="BM29" t="e">
        <f>AND('Reference Form'!H24,"AAAAAF63/0A=")</f>
        <v>#VALUE!</v>
      </c>
      <c r="BN29">
        <f>IF('Reference Form'!25:25,"AAAAAF63/0E=",0)</f>
        <v>0</v>
      </c>
      <c r="BO29" t="e">
        <f>AND('Reference Form'!A25,"AAAAAF63/0I=")</f>
        <v>#VALUE!</v>
      </c>
      <c r="BP29" t="e">
        <f>AND('Reference Form'!B25,"AAAAAF63/0M=")</f>
        <v>#VALUE!</v>
      </c>
      <c r="BQ29" t="e">
        <f>AND('Reference Form'!C25,"AAAAAF63/0Q=")</f>
        <v>#VALUE!</v>
      </c>
      <c r="BR29" t="e">
        <f>AND('Reference Form'!D25,"AAAAAF63/0U=")</f>
        <v>#VALUE!</v>
      </c>
      <c r="BS29" t="e">
        <f>AND('Reference Form'!E25,"AAAAAF63/0Y=")</f>
        <v>#VALUE!</v>
      </c>
      <c r="BT29" t="e">
        <f>AND('Reference Form'!F25,"AAAAAF63/0c=")</f>
        <v>#VALUE!</v>
      </c>
      <c r="BU29" t="e">
        <f>AND('Reference Form'!G25,"AAAAAF63/0g=")</f>
        <v>#VALUE!</v>
      </c>
      <c r="BV29" t="e">
        <f>AND('Reference Form'!H25,"AAAAAF63/0k=")</f>
        <v>#VALUE!</v>
      </c>
      <c r="BW29">
        <f>IF('Reference Form'!26:26,"AAAAAF63/0o=",0)</f>
        <v>0</v>
      </c>
      <c r="BX29" t="e">
        <f>AND('Reference Form'!A26,"AAAAAF63/0s=")</f>
        <v>#VALUE!</v>
      </c>
      <c r="BY29" t="e">
        <f>AND('Reference Form'!B26,"AAAAAF63/0w=")</f>
        <v>#VALUE!</v>
      </c>
      <c r="BZ29" t="e">
        <f>AND('Reference Form'!C26,"AAAAAF63/00=")</f>
        <v>#VALUE!</v>
      </c>
      <c r="CA29" t="e">
        <f>AND('Reference Form'!D26,"AAAAAF63/04=")</f>
        <v>#VALUE!</v>
      </c>
      <c r="CB29" t="e">
        <f>AND('Reference Form'!E26,"AAAAAF63/08=")</f>
        <v>#VALUE!</v>
      </c>
      <c r="CC29" t="e">
        <f>AND('Reference Form'!F26,"AAAAAF63/1A=")</f>
        <v>#VALUE!</v>
      </c>
      <c r="CD29" t="e">
        <f>AND('Reference Form'!G26,"AAAAAF63/1E=")</f>
        <v>#VALUE!</v>
      </c>
      <c r="CE29" t="e">
        <f>AND('Reference Form'!H26,"AAAAAF63/1I=")</f>
        <v>#VALUE!</v>
      </c>
      <c r="CF29">
        <f>IF('Reference Form'!27:27,"AAAAAF63/1M=",0)</f>
        <v>0</v>
      </c>
      <c r="CG29" t="e">
        <f>AND('Reference Form'!A27,"AAAAAF63/1Q=")</f>
        <v>#VALUE!</v>
      </c>
      <c r="CH29" t="e">
        <f>AND('Reference Form'!B27,"AAAAAF63/1U=")</f>
        <v>#VALUE!</v>
      </c>
      <c r="CI29" t="e">
        <f>AND('Reference Form'!C27,"AAAAAF63/1Y=")</f>
        <v>#VALUE!</v>
      </c>
      <c r="CJ29" t="e">
        <f>AND('Reference Form'!D27,"AAAAAF63/1c=")</f>
        <v>#VALUE!</v>
      </c>
      <c r="CK29" t="e">
        <f>AND('Reference Form'!E27,"AAAAAF63/1g=")</f>
        <v>#VALUE!</v>
      </c>
      <c r="CL29" t="e">
        <f>AND('Reference Form'!F27,"AAAAAF63/1k=")</f>
        <v>#VALUE!</v>
      </c>
      <c r="CM29" t="e">
        <f>AND('Reference Form'!G27,"AAAAAF63/1o=")</f>
        <v>#VALUE!</v>
      </c>
      <c r="CN29" t="e">
        <f>AND('Reference Form'!H27,"AAAAAF63/1s=")</f>
        <v>#VALUE!</v>
      </c>
      <c r="CO29">
        <f>IF('Reference Form'!28:28,"AAAAAF63/1w=",0)</f>
        <v>0</v>
      </c>
      <c r="CP29" t="e">
        <f>AND('Reference Form'!A28,"AAAAAF63/10=")</f>
        <v>#VALUE!</v>
      </c>
      <c r="CQ29" t="e">
        <f>AND('Reference Form'!B28,"AAAAAF63/14=")</f>
        <v>#VALUE!</v>
      </c>
      <c r="CR29" t="e">
        <f>AND('Reference Form'!C28,"AAAAAF63/18=")</f>
        <v>#VALUE!</v>
      </c>
      <c r="CS29" t="e">
        <f>AND('Reference Form'!D28,"AAAAAF63/2A=")</f>
        <v>#VALUE!</v>
      </c>
      <c r="CT29" t="e">
        <f>AND('Reference Form'!E28,"AAAAAF63/2E=")</f>
        <v>#VALUE!</v>
      </c>
      <c r="CU29" t="e">
        <f>AND('Reference Form'!F28,"AAAAAF63/2I=")</f>
        <v>#VALUE!</v>
      </c>
      <c r="CV29" t="e">
        <f>AND('Reference Form'!G28,"AAAAAF63/2M=")</f>
        <v>#VALUE!</v>
      </c>
      <c r="CW29" t="e">
        <f>AND('Reference Form'!H28,"AAAAAF63/2Q=")</f>
        <v>#VALUE!</v>
      </c>
      <c r="CX29">
        <f>IF('Reference Form'!29:29,"AAAAAF63/2U=",0)</f>
        <v>0</v>
      </c>
      <c r="CY29" t="e">
        <f>AND('Reference Form'!A29,"AAAAAF63/2Y=")</f>
        <v>#VALUE!</v>
      </c>
      <c r="CZ29" t="e">
        <f>AND('Reference Form'!B29,"AAAAAF63/2c=")</f>
        <v>#VALUE!</v>
      </c>
      <c r="DA29" t="e">
        <f>AND('Reference Form'!C29,"AAAAAF63/2g=")</f>
        <v>#VALUE!</v>
      </c>
      <c r="DB29" t="e">
        <f>AND('Reference Form'!D29,"AAAAAF63/2k=")</f>
        <v>#VALUE!</v>
      </c>
      <c r="DC29" t="e">
        <f>AND('Reference Form'!E29,"AAAAAF63/2o=")</f>
        <v>#VALUE!</v>
      </c>
      <c r="DD29" t="e">
        <f>AND('Reference Form'!F29,"AAAAAF63/2s=")</f>
        <v>#VALUE!</v>
      </c>
      <c r="DE29" t="e">
        <f>AND('Reference Form'!G29,"AAAAAF63/2w=")</f>
        <v>#VALUE!</v>
      </c>
      <c r="DF29" t="e">
        <f>AND('Reference Form'!H29,"AAAAAF63/20=")</f>
        <v>#VALUE!</v>
      </c>
      <c r="DG29">
        <f>IF('Reference Form'!30:30,"AAAAAF63/24=",0)</f>
        <v>0</v>
      </c>
      <c r="DH29" t="e">
        <f>AND('Reference Form'!A30,"AAAAAF63/28=")</f>
        <v>#VALUE!</v>
      </c>
      <c r="DI29" t="e">
        <f>AND('Reference Form'!B30,"AAAAAF63/3A=")</f>
        <v>#VALUE!</v>
      </c>
      <c r="DJ29" t="e">
        <f>AND('Reference Form'!C30,"AAAAAF63/3E=")</f>
        <v>#VALUE!</v>
      </c>
      <c r="DK29" t="e">
        <f>AND('Reference Form'!D30,"AAAAAF63/3I=")</f>
        <v>#VALUE!</v>
      </c>
      <c r="DL29" t="e">
        <f>AND('Reference Form'!E30,"AAAAAF63/3M=")</f>
        <v>#VALUE!</v>
      </c>
      <c r="DM29" t="e">
        <f>AND('Reference Form'!F30,"AAAAAF63/3Q=")</f>
        <v>#VALUE!</v>
      </c>
      <c r="DN29" t="e">
        <f>AND('Reference Form'!G30,"AAAAAF63/3U=")</f>
        <v>#VALUE!</v>
      </c>
      <c r="DO29" t="e">
        <f>AND('Reference Form'!H30,"AAAAAF63/3Y=")</f>
        <v>#VALUE!</v>
      </c>
      <c r="DP29">
        <f>IF('Reference Form'!31:31,"AAAAAF63/3c=",0)</f>
        <v>0</v>
      </c>
      <c r="DQ29" t="e">
        <f>AND('Reference Form'!A31,"AAAAAF63/3g=")</f>
        <v>#VALUE!</v>
      </c>
      <c r="DR29" t="e">
        <f>AND('Reference Form'!B31,"AAAAAF63/3k=")</f>
        <v>#VALUE!</v>
      </c>
      <c r="DS29" t="e">
        <f>AND('Reference Form'!C31,"AAAAAF63/3o=")</f>
        <v>#VALUE!</v>
      </c>
      <c r="DT29" t="e">
        <f>AND('Reference Form'!D31,"AAAAAF63/3s=")</f>
        <v>#VALUE!</v>
      </c>
      <c r="DU29" t="e">
        <f>AND('Reference Form'!E31,"AAAAAF63/3w=")</f>
        <v>#VALUE!</v>
      </c>
      <c r="DV29" t="e">
        <f>AND('Reference Form'!F31,"AAAAAF63/30=")</f>
        <v>#VALUE!</v>
      </c>
      <c r="DW29" t="e">
        <f>AND('Reference Form'!G31,"AAAAAF63/34=")</f>
        <v>#VALUE!</v>
      </c>
      <c r="DX29" t="e">
        <f>AND('Reference Form'!H31,"AAAAAF63/38=")</f>
        <v>#VALUE!</v>
      </c>
      <c r="DY29">
        <f>IF('Reference Form'!32:32,"AAAAAF63/4A=",0)</f>
        <v>0</v>
      </c>
      <c r="DZ29" t="e">
        <f>AND('Reference Form'!A32,"AAAAAF63/4E=")</f>
        <v>#VALUE!</v>
      </c>
      <c r="EA29" t="e">
        <f>AND('Reference Form'!B32,"AAAAAF63/4I=")</f>
        <v>#VALUE!</v>
      </c>
      <c r="EB29" t="e">
        <f>AND('Reference Form'!C32,"AAAAAF63/4M=")</f>
        <v>#VALUE!</v>
      </c>
      <c r="EC29" t="e">
        <f>AND('Reference Form'!D32,"AAAAAF63/4Q=")</f>
        <v>#VALUE!</v>
      </c>
      <c r="ED29" t="e">
        <f>AND('Reference Form'!E32,"AAAAAF63/4U=")</f>
        <v>#VALUE!</v>
      </c>
      <c r="EE29" t="e">
        <f>AND('Reference Form'!F32,"AAAAAF63/4Y=")</f>
        <v>#VALUE!</v>
      </c>
      <c r="EF29" t="e">
        <f>AND('Reference Form'!G32,"AAAAAF63/4c=")</f>
        <v>#VALUE!</v>
      </c>
      <c r="EG29" t="e">
        <f>AND('Reference Form'!H32,"AAAAAF63/4g=")</f>
        <v>#VALUE!</v>
      </c>
      <c r="EH29">
        <f>IF('Reference Form'!33:33,"AAAAAF63/4k=",0)</f>
        <v>0</v>
      </c>
      <c r="EI29" t="e">
        <f>AND('Reference Form'!A33,"AAAAAF63/4o=")</f>
        <v>#VALUE!</v>
      </c>
      <c r="EJ29" t="e">
        <f>AND('Reference Form'!B33,"AAAAAF63/4s=")</f>
        <v>#VALUE!</v>
      </c>
      <c r="EK29" t="e">
        <f>AND('Reference Form'!C33,"AAAAAF63/4w=")</f>
        <v>#VALUE!</v>
      </c>
      <c r="EL29" t="e">
        <f>AND('Reference Form'!D33,"AAAAAF63/40=")</f>
        <v>#VALUE!</v>
      </c>
      <c r="EM29" t="e">
        <f>AND('Reference Form'!E33,"AAAAAF63/44=")</f>
        <v>#VALUE!</v>
      </c>
      <c r="EN29" t="e">
        <f>AND('Reference Form'!F33,"AAAAAF63/48=")</f>
        <v>#VALUE!</v>
      </c>
      <c r="EO29" t="e">
        <f>AND('Reference Form'!G33,"AAAAAF63/5A=")</f>
        <v>#VALUE!</v>
      </c>
      <c r="EP29" t="e">
        <f>AND('Reference Form'!H33,"AAAAAF63/5E=")</f>
        <v>#VALUE!</v>
      </c>
      <c r="EQ29">
        <f>IF('Reference Form'!34:34,"AAAAAF63/5I=",0)</f>
        <v>0</v>
      </c>
      <c r="ER29" t="e">
        <f>AND('Reference Form'!A34,"AAAAAF63/5M=")</f>
        <v>#VALUE!</v>
      </c>
      <c r="ES29" t="e">
        <f>AND('Reference Form'!B34,"AAAAAF63/5Q=")</f>
        <v>#VALUE!</v>
      </c>
      <c r="ET29" t="e">
        <f>AND('Reference Form'!C34,"AAAAAF63/5U=")</f>
        <v>#VALUE!</v>
      </c>
      <c r="EU29" t="e">
        <f>AND('Reference Form'!D34,"AAAAAF63/5Y=")</f>
        <v>#VALUE!</v>
      </c>
      <c r="EV29" t="e">
        <f>AND('Reference Form'!E34,"AAAAAF63/5c=")</f>
        <v>#VALUE!</v>
      </c>
      <c r="EW29" t="e">
        <f>AND('Reference Form'!F34,"AAAAAF63/5g=")</f>
        <v>#VALUE!</v>
      </c>
      <c r="EX29" t="e">
        <f>AND('Reference Form'!G34,"AAAAAF63/5k=")</f>
        <v>#VALUE!</v>
      </c>
      <c r="EY29" t="e">
        <f>AND('Reference Form'!H34,"AAAAAF63/5o=")</f>
        <v>#VALUE!</v>
      </c>
      <c r="EZ29">
        <f>IF('Reference Form'!35:35,"AAAAAF63/5s=",0)</f>
        <v>0</v>
      </c>
      <c r="FA29" t="e">
        <f>AND('Reference Form'!A35,"AAAAAF63/5w=")</f>
        <v>#VALUE!</v>
      </c>
      <c r="FB29" t="e">
        <f>AND('Reference Form'!B35,"AAAAAF63/50=")</f>
        <v>#VALUE!</v>
      </c>
      <c r="FC29" t="e">
        <f>AND('Reference Form'!C35,"AAAAAF63/54=")</f>
        <v>#VALUE!</v>
      </c>
      <c r="FD29" t="e">
        <f>AND('Reference Form'!D35,"AAAAAF63/58=")</f>
        <v>#VALUE!</v>
      </c>
      <c r="FE29" t="e">
        <f>AND('Reference Form'!E35,"AAAAAF63/6A=")</f>
        <v>#VALUE!</v>
      </c>
      <c r="FF29" t="e">
        <f>AND('Reference Form'!F35,"AAAAAF63/6E=")</f>
        <v>#VALUE!</v>
      </c>
      <c r="FG29" t="e">
        <f>AND('Reference Form'!G35,"AAAAAF63/6I=")</f>
        <v>#VALUE!</v>
      </c>
      <c r="FH29" t="e">
        <f>AND('Reference Form'!H35,"AAAAAF63/6M=")</f>
        <v>#VALUE!</v>
      </c>
      <c r="FI29">
        <f>IF('Reference Form'!36:36,"AAAAAF63/6Q=",0)</f>
        <v>0</v>
      </c>
      <c r="FJ29" t="e">
        <f>AND('Reference Form'!A36,"AAAAAF63/6U=")</f>
        <v>#VALUE!</v>
      </c>
      <c r="FK29" t="e">
        <f>AND('Reference Form'!B36,"AAAAAF63/6Y=")</f>
        <v>#VALUE!</v>
      </c>
      <c r="FL29" t="e">
        <f>AND('Reference Form'!C36,"AAAAAF63/6c=")</f>
        <v>#VALUE!</v>
      </c>
      <c r="FM29" t="e">
        <f>AND('Reference Form'!D36,"AAAAAF63/6g=")</f>
        <v>#VALUE!</v>
      </c>
      <c r="FN29" t="e">
        <f>AND('Reference Form'!E36,"AAAAAF63/6k=")</f>
        <v>#VALUE!</v>
      </c>
      <c r="FO29" t="e">
        <f>AND('Reference Form'!F36,"AAAAAF63/6o=")</f>
        <v>#VALUE!</v>
      </c>
      <c r="FP29" t="e">
        <f>AND('Reference Form'!G36,"AAAAAF63/6s=")</f>
        <v>#VALUE!</v>
      </c>
      <c r="FQ29" t="e">
        <f>AND('Reference Form'!H36,"AAAAAF63/6w=")</f>
        <v>#VALUE!</v>
      </c>
      <c r="FR29">
        <f>IF('Reference Form'!37:37,"AAAAAF63/60=",0)</f>
        <v>0</v>
      </c>
      <c r="FS29" t="e">
        <f>AND('Reference Form'!A37,"AAAAAF63/64=")</f>
        <v>#VALUE!</v>
      </c>
      <c r="FT29" t="e">
        <f>AND('Reference Form'!B37,"AAAAAF63/68=")</f>
        <v>#VALUE!</v>
      </c>
      <c r="FU29" t="e">
        <f>AND('Reference Form'!C37,"AAAAAF63/7A=")</f>
        <v>#VALUE!</v>
      </c>
      <c r="FV29" t="e">
        <f>AND('Reference Form'!D37,"AAAAAF63/7E=")</f>
        <v>#VALUE!</v>
      </c>
      <c r="FW29" t="e">
        <f>AND('Reference Form'!E37,"AAAAAF63/7I=")</f>
        <v>#VALUE!</v>
      </c>
      <c r="FX29" t="e">
        <f>AND('Reference Form'!F37,"AAAAAF63/7M=")</f>
        <v>#VALUE!</v>
      </c>
      <c r="FY29" t="e">
        <f>AND('Reference Form'!G37,"AAAAAF63/7Q=")</f>
        <v>#VALUE!</v>
      </c>
      <c r="FZ29" t="e">
        <f>AND('Reference Form'!H37,"AAAAAF63/7U=")</f>
        <v>#VALUE!</v>
      </c>
      <c r="GA29">
        <f>IF('Reference Form'!38:38,"AAAAAF63/7Y=",0)</f>
        <v>0</v>
      </c>
      <c r="GB29" t="e">
        <f>AND('Reference Form'!A38,"AAAAAF63/7c=")</f>
        <v>#VALUE!</v>
      </c>
      <c r="GC29" t="e">
        <f>AND('Reference Form'!B38,"AAAAAF63/7g=")</f>
        <v>#VALUE!</v>
      </c>
      <c r="GD29" t="e">
        <f>AND('Reference Form'!C38,"AAAAAF63/7k=")</f>
        <v>#VALUE!</v>
      </c>
      <c r="GE29" t="e">
        <f>AND('Reference Form'!D38,"AAAAAF63/7o=")</f>
        <v>#VALUE!</v>
      </c>
      <c r="GF29" t="e">
        <f>AND('Reference Form'!E38,"AAAAAF63/7s=")</f>
        <v>#VALUE!</v>
      </c>
      <c r="GG29" t="e">
        <f>AND('Reference Form'!F38,"AAAAAF63/7w=")</f>
        <v>#VALUE!</v>
      </c>
      <c r="GH29" t="e">
        <f>AND('Reference Form'!G38,"AAAAAF63/70=")</f>
        <v>#VALUE!</v>
      </c>
      <c r="GI29" t="e">
        <f>AND('Reference Form'!H38,"AAAAAF63/74=")</f>
        <v>#VALUE!</v>
      </c>
      <c r="GJ29">
        <f>IF('Reference Form'!39:39,"AAAAAF63/78=",0)</f>
        <v>0</v>
      </c>
      <c r="GK29" t="e">
        <f>AND('Reference Form'!A39,"AAAAAF63/8A=")</f>
        <v>#VALUE!</v>
      </c>
      <c r="GL29" t="e">
        <f>AND('Reference Form'!B39,"AAAAAF63/8E=")</f>
        <v>#VALUE!</v>
      </c>
      <c r="GM29" t="e">
        <f>AND('Reference Form'!C39,"AAAAAF63/8I=")</f>
        <v>#VALUE!</v>
      </c>
      <c r="GN29" t="e">
        <f>AND('Reference Form'!D39,"AAAAAF63/8M=")</f>
        <v>#VALUE!</v>
      </c>
      <c r="GO29" t="e">
        <f>AND('Reference Form'!E39,"AAAAAF63/8Q=")</f>
        <v>#VALUE!</v>
      </c>
      <c r="GP29" t="e">
        <f>AND('Reference Form'!F39,"AAAAAF63/8U=")</f>
        <v>#VALUE!</v>
      </c>
      <c r="GQ29" t="e">
        <f>AND('Reference Form'!G39,"AAAAAF63/8Y=")</f>
        <v>#VALUE!</v>
      </c>
      <c r="GR29" t="e">
        <f>AND('Reference Form'!H39,"AAAAAF63/8c=")</f>
        <v>#VALUE!</v>
      </c>
      <c r="GS29">
        <f>IF('Reference Form'!40:40,"AAAAAF63/8g=",0)</f>
        <v>0</v>
      </c>
      <c r="GT29" t="e">
        <f>AND('Reference Form'!A40,"AAAAAF63/8k=")</f>
        <v>#VALUE!</v>
      </c>
      <c r="GU29" t="e">
        <f>AND('Reference Form'!B40,"AAAAAF63/8o=")</f>
        <v>#VALUE!</v>
      </c>
      <c r="GV29" t="e">
        <f>AND('Reference Form'!C40,"AAAAAF63/8s=")</f>
        <v>#VALUE!</v>
      </c>
      <c r="GW29" t="e">
        <f>AND('Reference Form'!D40,"AAAAAF63/8w=")</f>
        <v>#VALUE!</v>
      </c>
      <c r="GX29" t="e">
        <f>AND('Reference Form'!E40,"AAAAAF63/80=")</f>
        <v>#VALUE!</v>
      </c>
      <c r="GY29" t="e">
        <f>AND('Reference Form'!F40,"AAAAAF63/84=")</f>
        <v>#VALUE!</v>
      </c>
      <c r="GZ29" t="e">
        <f>AND('Reference Form'!G40,"AAAAAF63/88=")</f>
        <v>#VALUE!</v>
      </c>
      <c r="HA29" t="e">
        <f>AND('Reference Form'!H40,"AAAAAF63/9A=")</f>
        <v>#VALUE!</v>
      </c>
      <c r="HB29">
        <f>IF('Reference Form'!41:41,"AAAAAF63/9E=",0)</f>
        <v>0</v>
      </c>
      <c r="HC29" t="e">
        <f>AND('Reference Form'!A41,"AAAAAF63/9I=")</f>
        <v>#VALUE!</v>
      </c>
      <c r="HD29" t="e">
        <f>AND('Reference Form'!B41,"AAAAAF63/9M=")</f>
        <v>#VALUE!</v>
      </c>
      <c r="HE29" t="e">
        <f>AND('Reference Form'!C41,"AAAAAF63/9Q=")</f>
        <v>#VALUE!</v>
      </c>
      <c r="HF29" t="e">
        <f>AND('Reference Form'!D41,"AAAAAF63/9U=")</f>
        <v>#VALUE!</v>
      </c>
      <c r="HG29" t="e">
        <f>AND('Reference Form'!E41,"AAAAAF63/9Y=")</f>
        <v>#VALUE!</v>
      </c>
      <c r="HH29" t="e">
        <f>AND('Reference Form'!F41,"AAAAAF63/9c=")</f>
        <v>#VALUE!</v>
      </c>
      <c r="HI29" t="e">
        <f>AND('Reference Form'!G41,"AAAAAF63/9g=")</f>
        <v>#VALUE!</v>
      </c>
      <c r="HJ29" t="e">
        <f>AND('Reference Form'!H41,"AAAAAF63/9k=")</f>
        <v>#VALUE!</v>
      </c>
      <c r="HK29">
        <f>IF('Reference Form'!42:42,"AAAAAF63/9o=",0)</f>
        <v>0</v>
      </c>
      <c r="HL29" t="e">
        <f>AND('Reference Form'!A42,"AAAAAF63/9s=")</f>
        <v>#VALUE!</v>
      </c>
      <c r="HM29" t="e">
        <f>AND('Reference Form'!B42,"AAAAAF63/9w=")</f>
        <v>#VALUE!</v>
      </c>
      <c r="HN29" t="e">
        <f>AND('Reference Form'!C42,"AAAAAF63/90=")</f>
        <v>#VALUE!</v>
      </c>
      <c r="HO29" t="e">
        <f>AND('Reference Form'!D42,"AAAAAF63/94=")</f>
        <v>#VALUE!</v>
      </c>
      <c r="HP29" t="e">
        <f>AND('Reference Form'!E42,"AAAAAF63/98=")</f>
        <v>#VALUE!</v>
      </c>
      <c r="HQ29" t="e">
        <f>AND('Reference Form'!F42,"AAAAAF63/+A=")</f>
        <v>#VALUE!</v>
      </c>
      <c r="HR29" t="e">
        <f>AND('Reference Form'!G42,"AAAAAF63/+E=")</f>
        <v>#VALUE!</v>
      </c>
      <c r="HS29" t="e">
        <f>AND('Reference Form'!H42,"AAAAAF63/+I=")</f>
        <v>#VALUE!</v>
      </c>
      <c r="HT29">
        <f>IF('Reference Form'!43:43,"AAAAAF63/+M=",0)</f>
        <v>0</v>
      </c>
      <c r="HU29" t="e">
        <f>AND('Reference Form'!A43,"AAAAAF63/+Q=")</f>
        <v>#VALUE!</v>
      </c>
      <c r="HV29" t="e">
        <f>AND('Reference Form'!B43,"AAAAAF63/+U=")</f>
        <v>#VALUE!</v>
      </c>
      <c r="HW29" t="e">
        <f>AND('Reference Form'!C43,"AAAAAF63/+Y=")</f>
        <v>#VALUE!</v>
      </c>
      <c r="HX29" t="e">
        <f>AND('Reference Form'!D43,"AAAAAF63/+c=")</f>
        <v>#VALUE!</v>
      </c>
      <c r="HY29" t="e">
        <f>AND('Reference Form'!E43,"AAAAAF63/+g=")</f>
        <v>#VALUE!</v>
      </c>
      <c r="HZ29" t="e">
        <f>AND('Reference Form'!F43,"AAAAAF63/+k=")</f>
        <v>#VALUE!</v>
      </c>
      <c r="IA29" t="e">
        <f>AND('Reference Form'!G43,"AAAAAF63/+o=")</f>
        <v>#VALUE!</v>
      </c>
      <c r="IB29" t="e">
        <f>AND('Reference Form'!H43,"AAAAAF63/+s=")</f>
        <v>#VALUE!</v>
      </c>
      <c r="IC29">
        <f>IF('Reference Form'!44:44,"AAAAAF63/+w=",0)</f>
        <v>0</v>
      </c>
      <c r="ID29" t="e">
        <f>AND('Reference Form'!A44,"AAAAAF63/+0=")</f>
        <v>#VALUE!</v>
      </c>
      <c r="IE29" t="e">
        <f>AND('Reference Form'!B44,"AAAAAF63/+4=")</f>
        <v>#VALUE!</v>
      </c>
      <c r="IF29" t="e">
        <f>AND('Reference Form'!C44,"AAAAAF63/+8=")</f>
        <v>#VALUE!</v>
      </c>
      <c r="IG29" t="e">
        <f>AND('Reference Form'!D44,"AAAAAF63//A=")</f>
        <v>#VALUE!</v>
      </c>
      <c r="IH29" t="e">
        <f>AND('Reference Form'!E44,"AAAAAF63//E=")</f>
        <v>#VALUE!</v>
      </c>
      <c r="II29" t="e">
        <f>AND('Reference Form'!F44,"AAAAAF63//I=")</f>
        <v>#VALUE!</v>
      </c>
      <c r="IJ29" t="e">
        <f>AND('Reference Form'!G44,"AAAAAF63//M=")</f>
        <v>#VALUE!</v>
      </c>
      <c r="IK29" t="e">
        <f>AND('Reference Form'!H44,"AAAAAF63//Q=")</f>
        <v>#VALUE!</v>
      </c>
      <c r="IL29">
        <f>IF('Reference Form'!45:45,"AAAAAF63//U=",0)</f>
        <v>0</v>
      </c>
      <c r="IM29" t="e">
        <f>AND('Reference Form'!A45,"AAAAAF63//Y=")</f>
        <v>#VALUE!</v>
      </c>
      <c r="IN29" t="e">
        <f>AND('Reference Form'!B45,"AAAAAF63//c=")</f>
        <v>#VALUE!</v>
      </c>
      <c r="IO29" t="e">
        <f>AND('Reference Form'!C45,"AAAAAF63//g=")</f>
        <v>#VALUE!</v>
      </c>
      <c r="IP29" t="e">
        <f>AND('Reference Form'!D45,"AAAAAF63//k=")</f>
        <v>#VALUE!</v>
      </c>
      <c r="IQ29" t="e">
        <f>AND('Reference Form'!E45,"AAAAAF63//o=")</f>
        <v>#VALUE!</v>
      </c>
      <c r="IR29" t="e">
        <f>AND('Reference Form'!F45,"AAAAAF63//s=")</f>
        <v>#VALUE!</v>
      </c>
      <c r="IS29" t="e">
        <f>AND('Reference Form'!G45,"AAAAAF63//w=")</f>
        <v>#VALUE!</v>
      </c>
      <c r="IT29" t="e">
        <f>AND('Reference Form'!H45,"AAAAAF63//0=")</f>
        <v>#VALUE!</v>
      </c>
      <c r="IU29">
        <f>IF('Reference Form'!46:46,"AAAAAF63//4=",0)</f>
        <v>0</v>
      </c>
      <c r="IV29" t="e">
        <f>AND('Reference Form'!A46,"AAAAAF63//8=")</f>
        <v>#VALUE!</v>
      </c>
    </row>
    <row r="30" spans="1:213" ht="12.75">
      <c r="A30" t="e">
        <f>AND('Reference Form'!B46,"AAAAAFpvewA=")</f>
        <v>#VALUE!</v>
      </c>
      <c r="B30" t="e">
        <f>AND('Reference Form'!C46,"AAAAAFpvewE=")</f>
        <v>#VALUE!</v>
      </c>
      <c r="C30" t="e">
        <f>AND('Reference Form'!D46,"AAAAAFpvewI=")</f>
        <v>#VALUE!</v>
      </c>
      <c r="D30" t="e">
        <f>AND('Reference Form'!E46,"AAAAAFpvewM=")</f>
        <v>#VALUE!</v>
      </c>
      <c r="E30" t="e">
        <f>AND('Reference Form'!F46,"AAAAAFpvewQ=")</f>
        <v>#VALUE!</v>
      </c>
      <c r="F30" t="e">
        <f>AND('Reference Form'!G46,"AAAAAFpvewU=")</f>
        <v>#VALUE!</v>
      </c>
      <c r="G30" t="e">
        <f>AND('Reference Form'!H46,"AAAAAFpvewY=")</f>
        <v>#VALUE!</v>
      </c>
      <c r="H30">
        <f>IF('Reference Form'!47:47,"AAAAAFpvewc=",0)</f>
        <v>0</v>
      </c>
      <c r="I30" t="e">
        <f>AND('Reference Form'!A47,"AAAAAFpvewg=")</f>
        <v>#VALUE!</v>
      </c>
      <c r="J30" t="e">
        <f>AND('Reference Form'!B47,"AAAAAFpvewk=")</f>
        <v>#VALUE!</v>
      </c>
      <c r="K30" t="e">
        <f>AND('Reference Form'!C47,"AAAAAFpvewo=")</f>
        <v>#VALUE!</v>
      </c>
      <c r="L30" t="e">
        <f>AND('Reference Form'!D47,"AAAAAFpvews=")</f>
        <v>#VALUE!</v>
      </c>
      <c r="M30" t="e">
        <f>AND('Reference Form'!E47,"AAAAAFpveww=")</f>
        <v>#VALUE!</v>
      </c>
      <c r="N30" t="e">
        <f>AND('Reference Form'!F47,"AAAAAFpvew0=")</f>
        <v>#VALUE!</v>
      </c>
      <c r="O30" t="e">
        <f>AND('Reference Form'!G47,"AAAAAFpvew4=")</f>
        <v>#VALUE!</v>
      </c>
      <c r="P30" t="e">
        <f>AND('Reference Form'!H47,"AAAAAFpvew8=")</f>
        <v>#VALUE!</v>
      </c>
      <c r="Q30">
        <f>IF('Reference Form'!48:48,"AAAAAFpvexA=",0)</f>
        <v>0</v>
      </c>
      <c r="R30" t="e">
        <f>AND('Reference Form'!A48,"AAAAAFpvexE=")</f>
        <v>#VALUE!</v>
      </c>
      <c r="S30" t="e">
        <f>AND('Reference Form'!B48,"AAAAAFpvexI=")</f>
        <v>#VALUE!</v>
      </c>
      <c r="T30" t="e">
        <f>AND('Reference Form'!C48,"AAAAAFpvexM=")</f>
        <v>#VALUE!</v>
      </c>
      <c r="U30" t="e">
        <f>AND('Reference Form'!D48,"AAAAAFpvexQ=")</f>
        <v>#VALUE!</v>
      </c>
      <c r="V30" t="e">
        <f>AND('Reference Form'!E48,"AAAAAFpvexU=")</f>
        <v>#VALUE!</v>
      </c>
      <c r="W30" t="e">
        <f>AND('Reference Form'!F48,"AAAAAFpvexY=")</f>
        <v>#VALUE!</v>
      </c>
      <c r="X30" t="e">
        <f>AND('Reference Form'!G48,"AAAAAFpvexc=")</f>
        <v>#VALUE!</v>
      </c>
      <c r="Y30" t="e">
        <f>AND('Reference Form'!H48,"AAAAAFpvexg=")</f>
        <v>#VALUE!</v>
      </c>
      <c r="Z30">
        <f>IF('Reference Form'!49:49,"AAAAAFpvexk=",0)</f>
        <v>0</v>
      </c>
      <c r="AA30" t="e">
        <f>AND('Reference Form'!A49,"AAAAAFpvexo=")</f>
        <v>#VALUE!</v>
      </c>
      <c r="AB30" t="e">
        <f>AND('Reference Form'!B49,"AAAAAFpvexs=")</f>
        <v>#VALUE!</v>
      </c>
      <c r="AC30" t="e">
        <f>AND('Reference Form'!C49,"AAAAAFpvexw=")</f>
        <v>#VALUE!</v>
      </c>
      <c r="AD30" t="e">
        <f>AND('Reference Form'!D49,"AAAAAFpvex0=")</f>
        <v>#VALUE!</v>
      </c>
      <c r="AE30" t="e">
        <f>AND('Reference Form'!E49,"AAAAAFpvex4=")</f>
        <v>#VALUE!</v>
      </c>
      <c r="AF30" t="e">
        <f>AND('Reference Form'!F49,"AAAAAFpvex8=")</f>
        <v>#VALUE!</v>
      </c>
      <c r="AG30" t="e">
        <f>AND('Reference Form'!G49,"AAAAAFpveyA=")</f>
        <v>#VALUE!</v>
      </c>
      <c r="AH30" t="e">
        <f>AND('Reference Form'!H49,"AAAAAFpveyE=")</f>
        <v>#VALUE!</v>
      </c>
      <c r="AI30">
        <f>IF('Reference Form'!50:50,"AAAAAFpveyI=",0)</f>
        <v>0</v>
      </c>
      <c r="AJ30" t="e">
        <f>AND('Reference Form'!A50,"AAAAAFpveyM=")</f>
        <v>#VALUE!</v>
      </c>
      <c r="AK30" t="e">
        <f>AND('Reference Form'!B50,"AAAAAFpveyQ=")</f>
        <v>#VALUE!</v>
      </c>
      <c r="AL30" t="e">
        <f>AND('Reference Form'!C50,"AAAAAFpveyU=")</f>
        <v>#VALUE!</v>
      </c>
      <c r="AM30" t="e">
        <f>AND('Reference Form'!D50,"AAAAAFpveyY=")</f>
        <v>#VALUE!</v>
      </c>
      <c r="AN30" t="e">
        <f>AND('Reference Form'!E50,"AAAAAFpveyc=")</f>
        <v>#VALUE!</v>
      </c>
      <c r="AO30" t="e">
        <f>AND('Reference Form'!F50,"AAAAAFpveyg=")</f>
        <v>#VALUE!</v>
      </c>
      <c r="AP30" t="e">
        <f>AND('Reference Form'!G50,"AAAAAFpveyk=")</f>
        <v>#VALUE!</v>
      </c>
      <c r="AQ30" t="e">
        <f>AND('Reference Form'!H50,"AAAAAFpveyo=")</f>
        <v>#VALUE!</v>
      </c>
      <c r="AR30">
        <f>IF('Reference Form'!51:51,"AAAAAFpveys=",0)</f>
        <v>0</v>
      </c>
      <c r="AS30" t="e">
        <f>AND('Reference Form'!A51,"AAAAAFpveyw=")</f>
        <v>#VALUE!</v>
      </c>
      <c r="AT30" t="e">
        <f>AND('Reference Form'!B51,"AAAAAFpvey0=")</f>
        <v>#VALUE!</v>
      </c>
      <c r="AU30" t="e">
        <f>AND('Reference Form'!C51,"AAAAAFpvey4=")</f>
        <v>#VALUE!</v>
      </c>
      <c r="AV30" t="e">
        <f>AND('Reference Form'!D51,"AAAAAFpvey8=")</f>
        <v>#VALUE!</v>
      </c>
      <c r="AW30" t="e">
        <f>AND('Reference Form'!E51,"AAAAAFpvezA=")</f>
        <v>#VALUE!</v>
      </c>
      <c r="AX30" t="e">
        <f>AND('Reference Form'!F51,"AAAAAFpvezE=")</f>
        <v>#VALUE!</v>
      </c>
      <c r="AY30" t="e">
        <f>AND('Reference Form'!G51,"AAAAAFpvezI=")</f>
        <v>#VALUE!</v>
      </c>
      <c r="AZ30" t="e">
        <f>AND('Reference Form'!H51,"AAAAAFpvezM=")</f>
        <v>#VALUE!</v>
      </c>
      <c r="BA30">
        <f>IF('Reference Form'!52:52,"AAAAAFpvezQ=",0)</f>
        <v>0</v>
      </c>
      <c r="BB30" t="e">
        <f>AND('Reference Form'!A52,"AAAAAFpvezU=")</f>
        <v>#VALUE!</v>
      </c>
      <c r="BC30" t="e">
        <f>AND('Reference Form'!B52,"AAAAAFpvezY=")</f>
        <v>#VALUE!</v>
      </c>
      <c r="BD30" t="e">
        <f>AND('Reference Form'!C52,"AAAAAFpvezc=")</f>
        <v>#VALUE!</v>
      </c>
      <c r="BE30" t="e">
        <f>AND('Reference Form'!D52,"AAAAAFpvezg=")</f>
        <v>#VALUE!</v>
      </c>
      <c r="BF30" t="e">
        <f>AND('Reference Form'!E52,"AAAAAFpvezk=")</f>
        <v>#VALUE!</v>
      </c>
      <c r="BG30" t="e">
        <f>AND('Reference Form'!F52,"AAAAAFpvezo=")</f>
        <v>#VALUE!</v>
      </c>
      <c r="BH30" t="e">
        <f>AND('Reference Form'!G52,"AAAAAFpvezs=")</f>
        <v>#VALUE!</v>
      </c>
      <c r="BI30" t="e">
        <f>AND('Reference Form'!H52,"AAAAAFpvezw=")</f>
        <v>#VALUE!</v>
      </c>
      <c r="BJ30">
        <f>IF('Reference Form'!53:53,"AAAAAFpvez0=",0)</f>
        <v>0</v>
      </c>
      <c r="BK30" t="e">
        <f>AND('Reference Form'!A53,"AAAAAFpvez4=")</f>
        <v>#VALUE!</v>
      </c>
      <c r="BL30" t="e">
        <f>AND('Reference Form'!B53,"AAAAAFpvez8=")</f>
        <v>#VALUE!</v>
      </c>
      <c r="BM30" t="e">
        <f>AND('Reference Form'!C53,"AAAAAFpve0A=")</f>
        <v>#VALUE!</v>
      </c>
      <c r="BN30" t="e">
        <f>AND('Reference Form'!D53,"AAAAAFpve0E=")</f>
        <v>#VALUE!</v>
      </c>
      <c r="BO30" t="e">
        <f>AND('Reference Form'!E53,"AAAAAFpve0I=")</f>
        <v>#VALUE!</v>
      </c>
      <c r="BP30" t="e">
        <f>AND('Reference Form'!F53,"AAAAAFpve0M=")</f>
        <v>#VALUE!</v>
      </c>
      <c r="BQ30" t="e">
        <f>AND('Reference Form'!G53,"AAAAAFpve0Q=")</f>
        <v>#VALUE!</v>
      </c>
      <c r="BR30" t="e">
        <f>AND('Reference Form'!H53,"AAAAAFpve0U=")</f>
        <v>#VALUE!</v>
      </c>
      <c r="BS30">
        <f>IF('Reference Form'!54:54,"AAAAAFpve0Y=",0)</f>
        <v>0</v>
      </c>
      <c r="BT30" t="e">
        <f>AND('Reference Form'!A54,"AAAAAFpve0c=")</f>
        <v>#VALUE!</v>
      </c>
      <c r="BU30" t="e">
        <f>AND('Reference Form'!B54,"AAAAAFpve0g=")</f>
        <v>#VALUE!</v>
      </c>
      <c r="BV30" t="e">
        <f>AND('Reference Form'!C54,"AAAAAFpve0k=")</f>
        <v>#VALUE!</v>
      </c>
      <c r="BW30" t="e">
        <f>AND('Reference Form'!D54,"AAAAAFpve0o=")</f>
        <v>#VALUE!</v>
      </c>
      <c r="BX30" t="e">
        <f>AND('Reference Form'!E54,"AAAAAFpve0s=")</f>
        <v>#VALUE!</v>
      </c>
      <c r="BY30" t="e">
        <f>AND('Reference Form'!F54,"AAAAAFpve0w=")</f>
        <v>#VALUE!</v>
      </c>
      <c r="BZ30" t="e">
        <f>AND('Reference Form'!G54,"AAAAAFpve00=")</f>
        <v>#VALUE!</v>
      </c>
      <c r="CA30" t="e">
        <f>AND('Reference Form'!H54,"AAAAAFpve04=")</f>
        <v>#VALUE!</v>
      </c>
      <c r="CB30">
        <f>IF('Reference Form'!55:55,"AAAAAFpve08=",0)</f>
        <v>0</v>
      </c>
      <c r="CC30" t="e">
        <f>AND('Reference Form'!A55,"AAAAAFpve1A=")</f>
        <v>#VALUE!</v>
      </c>
      <c r="CD30" t="e">
        <f>AND('Reference Form'!B55,"AAAAAFpve1E=")</f>
        <v>#VALUE!</v>
      </c>
      <c r="CE30" t="e">
        <f>AND('Reference Form'!C55,"AAAAAFpve1I=")</f>
        <v>#VALUE!</v>
      </c>
      <c r="CF30" t="e">
        <f>AND('Reference Form'!D55,"AAAAAFpve1M=")</f>
        <v>#VALUE!</v>
      </c>
      <c r="CG30" t="e">
        <f>AND('Reference Form'!E55,"AAAAAFpve1Q=")</f>
        <v>#VALUE!</v>
      </c>
      <c r="CH30" t="e">
        <f>AND('Reference Form'!F55,"AAAAAFpve1U=")</f>
        <v>#VALUE!</v>
      </c>
      <c r="CI30" t="e">
        <f>AND('Reference Form'!G55,"AAAAAFpve1Y=")</f>
        <v>#VALUE!</v>
      </c>
      <c r="CJ30" t="e">
        <f>AND('Reference Form'!H55,"AAAAAFpve1c=")</f>
        <v>#VALUE!</v>
      </c>
      <c r="CK30">
        <f>IF('Reference Form'!56:56,"AAAAAFpve1g=",0)</f>
        <v>0</v>
      </c>
      <c r="CL30" t="e">
        <f>AND('Reference Form'!A56,"AAAAAFpve1k=")</f>
        <v>#VALUE!</v>
      </c>
      <c r="CM30">
        <f>IF('Reference Form'!57:57,"AAAAAFpve1o=",0)</f>
        <v>0</v>
      </c>
      <c r="CN30" t="e">
        <f>AND('Reference Form'!A57,"AAAAAFpve1s=")</f>
        <v>#VALUE!</v>
      </c>
      <c r="CO30">
        <f>IF('Reference Form'!58:58,"AAAAAFpve1w=",0)</f>
        <v>0</v>
      </c>
      <c r="CP30" t="e">
        <f>AND('Reference Form'!A58,"AAAAAFpve10=")</f>
        <v>#VALUE!</v>
      </c>
      <c r="CQ30">
        <f>IF('Reference Form'!59:59,"AAAAAFpve14=",0)</f>
        <v>0</v>
      </c>
      <c r="CR30" t="e">
        <f>AND('Reference Form'!A59,"AAAAAFpve18=")</f>
        <v>#VALUE!</v>
      </c>
      <c r="CS30">
        <f>IF('Reference Form'!60:60,"AAAAAFpve2A=",0)</f>
        <v>0</v>
      </c>
      <c r="CT30" t="e">
        <f>AND('Reference Form'!A60,"AAAAAFpve2E=")</f>
        <v>#VALUE!</v>
      </c>
      <c r="CU30">
        <f>IF('Reference Form'!61:61,"AAAAAFpve2I=",0)</f>
        <v>0</v>
      </c>
      <c r="CV30" t="e">
        <f>AND('Reference Form'!A61,"AAAAAFpve2M=")</f>
        <v>#VALUE!</v>
      </c>
      <c r="CW30">
        <f>IF('Reference Form'!62:62,"AAAAAFpve2Q=",0)</f>
        <v>0</v>
      </c>
      <c r="CX30" t="e">
        <f>AND('Reference Form'!A62,"AAAAAFpve2U=")</f>
        <v>#VALUE!</v>
      </c>
      <c r="CY30">
        <f>IF('Reference Form'!63:63,"AAAAAFpve2Y=",0)</f>
        <v>0</v>
      </c>
      <c r="CZ30" t="e">
        <f>AND('Reference Form'!A63,"AAAAAFpve2c=")</f>
        <v>#VALUE!</v>
      </c>
      <c r="DA30">
        <f>IF('Reference Form'!64:64,"AAAAAFpve2g=",0)</f>
        <v>0</v>
      </c>
      <c r="DB30" t="e">
        <f>AND('Reference Form'!A64,"AAAAAFpve2k=")</f>
        <v>#VALUE!</v>
      </c>
      <c r="DC30">
        <f>IF('Reference Form'!65:65,"AAAAAFpve2o=",0)</f>
        <v>0</v>
      </c>
      <c r="DD30" t="e">
        <f>AND('Reference Form'!A65,"AAAAAFpve2s=")</f>
        <v>#VALUE!</v>
      </c>
      <c r="DE30">
        <f>IF('Reference Form'!66:66,"AAAAAFpve2w=",0)</f>
        <v>0</v>
      </c>
      <c r="DF30" t="e">
        <f>AND('Reference Form'!A66,"AAAAAFpve20=")</f>
        <v>#VALUE!</v>
      </c>
      <c r="DG30">
        <f>IF('Reference Form'!67:67,"AAAAAFpve24=",0)</f>
        <v>0</v>
      </c>
      <c r="DH30" t="e">
        <f>AND('Reference Form'!A67,"AAAAAFpve28=")</f>
        <v>#VALUE!</v>
      </c>
      <c r="DI30">
        <f>IF('Reference Form'!68:68,"AAAAAFpve3A=",0)</f>
        <v>0</v>
      </c>
      <c r="DJ30" t="e">
        <f>AND('Reference Form'!A68,"AAAAAFpve3E=")</f>
        <v>#VALUE!</v>
      </c>
      <c r="DK30">
        <f>IF('Reference Form'!69:69,"AAAAAFpve3I=",0)</f>
        <v>0</v>
      </c>
      <c r="DL30" t="e">
        <f>AND('Reference Form'!A69,"AAAAAFpve3M=")</f>
        <v>#VALUE!</v>
      </c>
      <c r="DM30">
        <f>IF('Reference Form'!70:70,"AAAAAFpve3Q=",0)</f>
        <v>0</v>
      </c>
      <c r="DN30" t="e">
        <f>AND('Reference Form'!A70,"AAAAAFpve3U=")</f>
        <v>#VALUE!</v>
      </c>
      <c r="DO30">
        <f>IF('Reference Form'!71:71,"AAAAAFpve3Y=",0)</f>
        <v>0</v>
      </c>
      <c r="DP30" t="e">
        <f>AND('Reference Form'!A71,"AAAAAFpve3c=")</f>
        <v>#VALUE!</v>
      </c>
      <c r="DQ30">
        <f>IF('Reference Form'!72:72,"AAAAAFpve3g=",0)</f>
        <v>0</v>
      </c>
      <c r="DR30" t="e">
        <f>AND('Reference Form'!A72,"AAAAAFpve3k=")</f>
        <v>#VALUE!</v>
      </c>
      <c r="DS30">
        <f>IF('Reference Form'!73:73,"AAAAAFpve3o=",0)</f>
        <v>0</v>
      </c>
      <c r="DT30" t="e">
        <f>AND('Reference Form'!A73,"AAAAAFpve3s=")</f>
        <v>#VALUE!</v>
      </c>
      <c r="DU30">
        <f>IF('Reference Form'!74:74,"AAAAAFpve3w=",0)</f>
        <v>0</v>
      </c>
      <c r="DV30" t="e">
        <f>AND('Reference Form'!A74,"AAAAAFpve30=")</f>
        <v>#VALUE!</v>
      </c>
      <c r="DW30">
        <f>IF('Reference Form'!75:75,"AAAAAFpve34=",0)</f>
        <v>0</v>
      </c>
      <c r="DX30" t="e">
        <f>AND('Reference Form'!A75,"AAAAAFpve38=")</f>
        <v>#VALUE!</v>
      </c>
      <c r="DY30">
        <f>IF('Reference Form'!76:76,"AAAAAFpve4A=",0)</f>
        <v>0</v>
      </c>
      <c r="DZ30" t="e">
        <f>AND('Reference Form'!A76,"AAAAAFpve4E=")</f>
        <v>#VALUE!</v>
      </c>
      <c r="EA30">
        <f>IF('Reference Form'!77:77,"AAAAAFpve4I=",0)</f>
        <v>0</v>
      </c>
      <c r="EB30" t="e">
        <f>AND('Reference Form'!A77,"AAAAAFpve4M=")</f>
        <v>#VALUE!</v>
      </c>
      <c r="EC30">
        <f>IF('Reference Form'!78:78,"AAAAAFpve4Q=",0)</f>
        <v>0</v>
      </c>
      <c r="ED30" t="e">
        <f>AND('Reference Form'!A78,"AAAAAFpve4U=")</f>
        <v>#VALUE!</v>
      </c>
      <c r="EE30">
        <f>IF('Reference Form'!79:79,"AAAAAFpve4Y=",0)</f>
        <v>0</v>
      </c>
      <c r="EF30" t="e">
        <f>AND('Reference Form'!A79,"AAAAAFpve4c=")</f>
        <v>#VALUE!</v>
      </c>
      <c r="EG30">
        <f>IF('Reference Form'!80:80,"AAAAAFpve4g=",0)</f>
        <v>0</v>
      </c>
      <c r="EH30" t="e">
        <f>AND('Reference Form'!A80,"AAAAAFpve4k=")</f>
        <v>#VALUE!</v>
      </c>
      <c r="EI30">
        <f>IF('Reference Form'!81:81,"AAAAAFpve4o=",0)</f>
        <v>0</v>
      </c>
      <c r="EJ30" t="e">
        <f>AND('Reference Form'!A81,"AAAAAFpve4s=")</f>
        <v>#VALUE!</v>
      </c>
      <c r="EK30">
        <f>IF('Reference Form'!82:82,"AAAAAFpve4w=",0)</f>
        <v>0</v>
      </c>
      <c r="EL30" t="e">
        <f>AND('Reference Form'!A82,"AAAAAFpve40=")</f>
        <v>#VALUE!</v>
      </c>
      <c r="EM30">
        <f>IF('Reference Form'!83:83,"AAAAAFpve44=",0)</f>
        <v>0</v>
      </c>
      <c r="EN30" t="e">
        <f>AND('Reference Form'!A83,"AAAAAFpve48=")</f>
        <v>#VALUE!</v>
      </c>
      <c r="EO30">
        <f>IF('Reference Form'!84:84,"AAAAAFpve5A=",0)</f>
        <v>0</v>
      </c>
      <c r="EP30" t="e">
        <f>AND('Reference Form'!A84,"AAAAAFpve5E=")</f>
        <v>#VALUE!</v>
      </c>
      <c r="EQ30">
        <f>IF('Reference Form'!85:85,"AAAAAFpve5I=",0)</f>
        <v>0</v>
      </c>
      <c r="ER30" t="e">
        <f>AND('Reference Form'!A85,"AAAAAFpve5M=")</f>
        <v>#VALUE!</v>
      </c>
      <c r="ES30">
        <f>IF('Reference Form'!86:86,"AAAAAFpve5Q=",0)</f>
        <v>0</v>
      </c>
      <c r="ET30" t="e">
        <f>AND('Reference Form'!A86,"AAAAAFpve5U=")</f>
        <v>#VALUE!</v>
      </c>
      <c r="EU30">
        <f>IF('Reference Form'!87:87,"AAAAAFpve5Y=",0)</f>
        <v>0</v>
      </c>
      <c r="EV30" t="e">
        <f>AND('Reference Form'!A87,"AAAAAFpve5c=")</f>
        <v>#VALUE!</v>
      </c>
      <c r="EW30">
        <f>IF('Reference Form'!88:88,"AAAAAFpve5g=",0)</f>
        <v>0</v>
      </c>
      <c r="EX30" t="e">
        <f>AND('Reference Form'!A88,"AAAAAFpve5k=")</f>
        <v>#VALUE!</v>
      </c>
      <c r="EY30">
        <f>IF('Reference Form'!89:89,"AAAAAFpve5o=",0)</f>
        <v>0</v>
      </c>
      <c r="EZ30" t="e">
        <f>AND('Reference Form'!A89,"AAAAAFpve5s=")</f>
        <v>#VALUE!</v>
      </c>
      <c r="FA30">
        <f>IF('Reference Form'!90:90,"AAAAAFpve5w=",0)</f>
        <v>0</v>
      </c>
      <c r="FB30" t="e">
        <f>AND('Reference Form'!A90,"AAAAAFpve50=")</f>
        <v>#VALUE!</v>
      </c>
      <c r="FC30">
        <f>IF('Reference Form'!91:91,"AAAAAFpve54=",0)</f>
        <v>0</v>
      </c>
      <c r="FD30" t="e">
        <f>AND('Reference Form'!A91,"AAAAAFpve58=")</f>
        <v>#VALUE!</v>
      </c>
      <c r="FE30">
        <f>IF('Reference Form'!92:92,"AAAAAFpve6A=",0)</f>
        <v>0</v>
      </c>
      <c r="FF30" t="e">
        <f>AND('Reference Form'!A92,"AAAAAFpve6E=")</f>
        <v>#VALUE!</v>
      </c>
      <c r="FG30">
        <f>IF('Reference Form'!93:93,"AAAAAFpve6I=",0)</f>
        <v>0</v>
      </c>
      <c r="FH30" t="e">
        <f>AND('Reference Form'!A93,"AAAAAFpve6M=")</f>
        <v>#VALUE!</v>
      </c>
      <c r="FI30">
        <f>IF('Reference Form'!94:94,"AAAAAFpve6Q=",0)</f>
        <v>0</v>
      </c>
      <c r="FJ30" t="e">
        <f>AND('Reference Form'!A94,"AAAAAFpve6U=")</f>
        <v>#VALUE!</v>
      </c>
      <c r="FK30">
        <f>IF('Reference Form'!95:95,"AAAAAFpve6Y=",0)</f>
        <v>0</v>
      </c>
      <c r="FL30" t="e">
        <f>AND('Reference Form'!A95,"AAAAAFpve6c=")</f>
        <v>#VALUE!</v>
      </c>
      <c r="FM30">
        <f>IF('Reference Form'!96:96,"AAAAAFpve6g=",0)</f>
        <v>0</v>
      </c>
      <c r="FN30" t="e">
        <f>AND('Reference Form'!A96,"AAAAAFpve6k=")</f>
        <v>#VALUE!</v>
      </c>
      <c r="FO30">
        <f>IF('Reference Form'!97:97,"AAAAAFpve6o=",0)</f>
        <v>0</v>
      </c>
      <c r="FP30" t="e">
        <f>AND('Reference Form'!A97,"AAAAAFpve6s=")</f>
        <v>#VALUE!</v>
      </c>
      <c r="FQ30">
        <f>IF('Reference Form'!98:98,"AAAAAFpve6w=",0)</f>
        <v>0</v>
      </c>
      <c r="FR30" t="e">
        <f>AND('Reference Form'!A98,"AAAAAFpve60=")</f>
        <v>#VALUE!</v>
      </c>
      <c r="FS30">
        <f>IF('Reference Form'!99:99,"AAAAAFpve64=",0)</f>
        <v>0</v>
      </c>
      <c r="FT30" t="e">
        <f>AND('Reference Form'!A99,"AAAAAFpve68=")</f>
        <v>#VALUE!</v>
      </c>
      <c r="FU30">
        <f>IF('Reference Form'!100:100,"AAAAAFpve7A=",0)</f>
        <v>0</v>
      </c>
      <c r="FV30" t="e">
        <f>AND('Reference Form'!A100,"AAAAAFpve7E=")</f>
        <v>#VALUE!</v>
      </c>
      <c r="FW30">
        <f>IF('Reference Form'!101:101,"AAAAAFpve7I=",0)</f>
        <v>0</v>
      </c>
      <c r="FX30" t="e">
        <f>AND('Reference Form'!A101,"AAAAAFpve7M=")</f>
        <v>#VALUE!</v>
      </c>
      <c r="FY30">
        <f>IF('Reference Form'!102:102,"AAAAAFpve7Q=",0)</f>
        <v>0</v>
      </c>
      <c r="FZ30" t="e">
        <f>AND('Reference Form'!A102,"AAAAAFpve7U=")</f>
        <v>#VALUE!</v>
      </c>
      <c r="GA30">
        <f>IF('Reference Form'!103:103,"AAAAAFpve7Y=",0)</f>
        <v>0</v>
      </c>
      <c r="GB30" t="e">
        <f>AND('Reference Form'!A103,"AAAAAFpve7c=")</f>
        <v>#VALUE!</v>
      </c>
      <c r="GC30">
        <f>IF('Reference Form'!104:104,"AAAAAFpve7g=",0)</f>
        <v>0</v>
      </c>
      <c r="GD30" t="e">
        <f>AND('Reference Form'!A104,"AAAAAFpve7k=")</f>
        <v>#VALUE!</v>
      </c>
      <c r="GE30">
        <f>IF('Reference Form'!105:105,"AAAAAFpve7o=",0)</f>
        <v>0</v>
      </c>
      <c r="GF30" t="e">
        <f>AND('Reference Form'!A105,"AAAAAFpve7s=")</f>
        <v>#VALUE!</v>
      </c>
      <c r="GG30">
        <f>IF('Reference Form'!106:106,"AAAAAFpve7w=",0)</f>
        <v>0</v>
      </c>
      <c r="GH30" t="e">
        <f>AND('Reference Form'!A106,"AAAAAFpve70=")</f>
        <v>#VALUE!</v>
      </c>
      <c r="GI30">
        <f>IF('Reference Form'!107:107,"AAAAAFpve74=",0)</f>
        <v>0</v>
      </c>
      <c r="GJ30" t="e">
        <f>AND('Reference Form'!A107,"AAAAAFpve78=")</f>
        <v>#VALUE!</v>
      </c>
      <c r="GK30">
        <f>IF('Reference Form'!108:108,"AAAAAFpve8A=",0)</f>
        <v>0</v>
      </c>
      <c r="GL30" t="e">
        <f>AND('Reference Form'!A108,"AAAAAFpve8E=")</f>
        <v>#VALUE!</v>
      </c>
      <c r="GM30">
        <f>IF('Reference Form'!109:109,"AAAAAFpve8I=",0)</f>
        <v>0</v>
      </c>
      <c r="GN30" t="e">
        <f>AND('Reference Form'!A109,"AAAAAFpve8M=")</f>
        <v>#VALUE!</v>
      </c>
      <c r="GO30">
        <f>IF('Reference Form'!110:110,"AAAAAFpve8Q=",0)</f>
        <v>0</v>
      </c>
      <c r="GP30" t="e">
        <f>AND('Reference Form'!A110,"AAAAAFpve8U=")</f>
        <v>#VALUE!</v>
      </c>
      <c r="GQ30" t="e">
        <f>IF('Reference Form'!A:A,"AAAAAFpve8Y=",0)</f>
        <v>#VALUE!</v>
      </c>
      <c r="GR30">
        <f>IF('Reference Form'!B:B,"AAAAAFpve8c=",0)</f>
        <v>0</v>
      </c>
      <c r="GS30">
        <f>IF('Reference Form'!C:C,"AAAAAFpve8g=",0)</f>
        <v>0</v>
      </c>
      <c r="GT30">
        <f>IF('Reference Form'!D:D,"AAAAAFpve8k=",0)</f>
        <v>0</v>
      </c>
      <c r="GU30">
        <f>IF('Reference Form'!E:E,"AAAAAFpve8o=",0)</f>
        <v>0</v>
      </c>
      <c r="GV30">
        <f>IF('Reference Form'!F:F,"AAAAAFpve8s=",0)</f>
        <v>0</v>
      </c>
      <c r="GW30">
        <f>IF('Reference Form'!G:G,"AAAAAFpve8w=",0)</f>
        <v>0</v>
      </c>
      <c r="GX30">
        <f>IF('Reference Form'!H:H,"AAAAAFpve80=",0)</f>
        <v>0</v>
      </c>
      <c r="GY30" t="s">
        <v>191</v>
      </c>
      <c r="GZ30" t="e">
        <f>IF("N",'Application, cook'!PRINT_AREA,"AAAAAFpve88=")</f>
        <v>#VALUE!</v>
      </c>
      <c r="HA30" t="e">
        <f>IF("N",'Application, couselor &amp; other'!PRINT_AREA,"AAAAAFpve9A=")</f>
        <v>#VALUE!</v>
      </c>
      <c r="HB30" t="e">
        <f>IF("N",'Application, maintenance'!PRINT_AREA,"AAAAAFpve9E=")</f>
        <v>#VALUE!</v>
      </c>
      <c r="HC30" t="e">
        <f>IF("N",'Application, video'!PRINT_AREA,"AAAAAFpve9I=")</f>
        <v>#VALUE!</v>
      </c>
      <c r="HD30" t="e">
        <f>IF("N",'Reference Form'!PRINT_AREA,"AAAAAFpve9M=")</f>
        <v>#VALUE!</v>
      </c>
      <c r="HE30" t="e">
        <f>IF("N",'Reference Form, Maintenance'!PRINT_AREA,"AAAAAFpve9Q=")</f>
        <v>#VALUE!</v>
      </c>
    </row>
    <row r="31" spans="1:5" ht="12.75">
      <c r="A31" t="e">
        <f>IF("N",'Application, cook'!PRINT_AREA,"AAAAADun+wA=")</f>
        <v>#VALUE!</v>
      </c>
      <c r="B31" t="e">
        <f>IF("N",'Application, couselor &amp; other'!PRINT_AREA,"AAAAADun+wE=")</f>
        <v>#VALUE!</v>
      </c>
      <c r="C31" t="e">
        <f>IF("N",'Application, maintenance'!PRINT_AREA,"AAAAADun+wI=")</f>
        <v>#VALUE!</v>
      </c>
      <c r="D31" t="e">
        <f>IF("N",'Application, video'!PRINT_AREA,"AAAAADun+wM=")</f>
        <v>#VALUE!</v>
      </c>
      <c r="E31" t="e">
        <f>IF("N",'Reference Form, Maintenance'!PRINT_AREA,"AAAAADun+wQ=")</f>
        <v>#VALUE!</v>
      </c>
    </row>
    <row r="32" spans="1:5" ht="12.75">
      <c r="A32" t="e">
        <f>IF("N",'Application, cook'!PRINT_AREA,"AAAAAH9nngA=")</f>
        <v>#VALUE!</v>
      </c>
      <c r="B32" t="e">
        <f>IF("N",'Application, couselor &amp; other'!PRINT_AREA,"AAAAAH9nngE=")</f>
        <v>#VALUE!</v>
      </c>
      <c r="C32" t="e">
        <f>IF("N",'Application, maintenance'!PRINT_AREA,"AAAAAH9nngI=")</f>
        <v>#VALUE!</v>
      </c>
      <c r="D32" t="e">
        <f>IF("N",'Application, video'!PRINT_AREA,"AAAAAH9nngM=")</f>
        <v>#VALUE!</v>
      </c>
      <c r="E32" t="e">
        <f>IF("N",'Reference Form, Maintenance'!PRINT_AREA,"AAAAAH9nngQ=")</f>
        <v>#VALUE!</v>
      </c>
    </row>
    <row r="33" spans="1:5" ht="12.75">
      <c r="A33" t="e">
        <f>IF("N",'Application, cook'!PRINT_AREA,"AAAAAH89fQA=")</f>
        <v>#VALUE!</v>
      </c>
      <c r="B33" t="e">
        <f>IF("N",'Application, couselor &amp; other'!PRINT_AREA,"AAAAAH89fQE=")</f>
        <v>#VALUE!</v>
      </c>
      <c r="C33" t="e">
        <f>IF("N",'Application, maintenance'!PRINT_AREA,"AAAAAH89fQI=")</f>
        <v>#VALUE!</v>
      </c>
      <c r="D33" t="e">
        <f>IF("N",'Application, video'!PRINT_AREA,"AAAAAH89fQM=")</f>
        <v>#VALUE!</v>
      </c>
      <c r="E33" t="e">
        <f>IF("N",'Reference Form, Maintenance'!PRINT_AREA,"AAAAAH89fQQ=")</f>
        <v>#VALUE!</v>
      </c>
    </row>
    <row r="34" spans="1:5" ht="12.75">
      <c r="A34" t="e">
        <f>IF("N",'Application, cook'!PRINT_AREA,"AAAAAB8XfQA=")</f>
        <v>#VALUE!</v>
      </c>
      <c r="B34" t="e">
        <f>IF("N",'Application, couselor &amp; other'!PRINT_AREA,"AAAAAB8XfQE=")</f>
        <v>#VALUE!</v>
      </c>
      <c r="C34" t="e">
        <f>IF("N",'Application, maintenance'!PRINT_AREA,"AAAAAB8XfQI=")</f>
        <v>#VALUE!</v>
      </c>
      <c r="D34" t="e">
        <f>IF("N",'Application, video'!PRINT_AREA,"AAAAAB8XfQM=")</f>
        <v>#VALUE!</v>
      </c>
      <c r="E34" t="e">
        <f>IF("N",'Reference Form, Maintenance'!PRINT_AREA,"AAAAAB8XfQQ=")</f>
        <v>#VALUE!</v>
      </c>
    </row>
    <row r="35" spans="1:5" ht="12.75">
      <c r="A35" t="e">
        <f>IF("N",'Application, cook'!PRINT_AREA,"AAAAAF+f/QA=")</f>
        <v>#VALUE!</v>
      </c>
      <c r="B35" t="e">
        <f>IF("N",'Application, couselor &amp; other'!PRINT_AREA,"AAAAAF+f/QE=")</f>
        <v>#VALUE!</v>
      </c>
      <c r="C35" t="e">
        <f>IF("N",'Application, maintenance'!PRINT_AREA,"AAAAAF+f/QI=")</f>
        <v>#VALUE!</v>
      </c>
      <c r="D35" t="e">
        <f>IF("N",'Application, video'!PRINT_AREA,"AAAAAF+f/QM=")</f>
        <v>#VALUE!</v>
      </c>
      <c r="E35" t="e">
        <f>IF("N",'Reference Form, Maintenance'!PRINT_AREA,"AAAAAF+f/QQ=")</f>
        <v>#VALUE!</v>
      </c>
    </row>
    <row r="36" spans="1:5" ht="12.75">
      <c r="A36" t="e">
        <f>IF("N",'Application, cook'!PRINT_AREA,"AAAAADc3ygA=")</f>
        <v>#VALUE!</v>
      </c>
      <c r="B36" t="e">
        <f>IF("N",'Application, couselor &amp; other'!PRINT_AREA,"AAAAADc3ygE=")</f>
        <v>#VALUE!</v>
      </c>
      <c r="C36" t="e">
        <f>IF("N",'Application, maintenance'!PRINT_AREA,"AAAAADc3ygI=")</f>
        <v>#VALUE!</v>
      </c>
      <c r="D36" t="e">
        <f>IF("N",'Application, video'!PRINT_AREA,"AAAAADc3ygM=")</f>
        <v>#VALUE!</v>
      </c>
      <c r="E36" t="e">
        <f>IF("N",'Reference Form, Maintenance'!PRINT_AREA,"AAAAADc3ygQ=")</f>
        <v>#VALUE!</v>
      </c>
    </row>
    <row r="37" spans="1:5" ht="12.75">
      <c r="A37" t="e">
        <f>IF("N",'Application, cook'!PRINT_AREA,"AAAAAGP/XQA=")</f>
        <v>#VALUE!</v>
      </c>
      <c r="B37" t="e">
        <f>IF("N",'Application, couselor &amp; other'!PRINT_AREA,"AAAAAGP/XQE=")</f>
        <v>#VALUE!</v>
      </c>
      <c r="C37" t="e">
        <f>IF("N",'Application, maintenance'!PRINT_AREA,"AAAAAGP/XQI=")</f>
        <v>#VALUE!</v>
      </c>
      <c r="D37" t="e">
        <f>IF("N",'Application, video'!PRINT_AREA,"AAAAAGP/XQM=")</f>
        <v>#VALUE!</v>
      </c>
      <c r="E37" t="e">
        <f>IF("N",'Reference Form, Maintenance'!PRINT_AREA,"AAAAAGP/XQQ=")</f>
        <v>#VALUE!</v>
      </c>
    </row>
    <row r="38" spans="1:5" ht="12.75">
      <c r="A38" t="e">
        <f>IF("N",'Application, cook'!PRINT_AREA,"AAAAAHy3fwA=")</f>
        <v>#VALUE!</v>
      </c>
      <c r="B38" t="e">
        <f>IF("N",'Application, couselor &amp; other'!PRINT_AREA,"AAAAAHy3fwE=")</f>
        <v>#VALUE!</v>
      </c>
      <c r="C38" t="e">
        <f>IF("N",'Application, maintenance'!PRINT_AREA,"AAAAAHy3fwI=")</f>
        <v>#VALUE!</v>
      </c>
      <c r="D38" t="e">
        <f>IF("N",'Application, video'!PRINT_AREA,"AAAAAHy3fwM=")</f>
        <v>#VALUE!</v>
      </c>
      <c r="E38" t="e">
        <f>IF("N",'Reference Form, Maintenance'!PRINT_AREA,"AAAAAHy3fwQ=")</f>
        <v>#VALUE!</v>
      </c>
    </row>
    <row r="39" spans="1:5" ht="12.75">
      <c r="A39" t="e">
        <f>IF("N",'Application, cook'!PRINT_AREA,"AAAAAH/65QA=")</f>
        <v>#VALUE!</v>
      </c>
      <c r="B39" t="e">
        <f>IF("N",'Application, couselor &amp; other'!PRINT_AREA,"AAAAAH/65QE=")</f>
        <v>#VALUE!</v>
      </c>
      <c r="C39" t="e">
        <f>IF("N",'Application, maintenance'!PRINT_AREA,"AAAAAH/65QI=")</f>
        <v>#VALUE!</v>
      </c>
      <c r="D39" t="e">
        <f>IF("N",'Application, video'!PRINT_AREA,"AAAAAH/65QM=")</f>
        <v>#VALUE!</v>
      </c>
      <c r="E39" t="e">
        <f>IF("N",'Reference Form, Maintenance'!PRINT_AREA,"AAAAAH/65QQ=")</f>
        <v>#VALUE!</v>
      </c>
    </row>
    <row r="40" spans="1:5" ht="12.75">
      <c r="A40" t="e">
        <f>IF("N",'Application, cook'!PRINT_AREA,"AAAAAH88+wA=")</f>
        <v>#VALUE!</v>
      </c>
      <c r="B40" t="e">
        <f>IF("N",'Application, couselor &amp; other'!PRINT_AREA,"AAAAAH88+wE=")</f>
        <v>#VALUE!</v>
      </c>
      <c r="C40" t="e">
        <f>IF("N",'Application, maintenance'!PRINT_AREA,"AAAAAH88+wI=")</f>
        <v>#VALUE!</v>
      </c>
      <c r="D40" t="e">
        <f>IF("N",'Application, video'!PRINT_AREA,"AAAAAH88+wM=")</f>
        <v>#VALUE!</v>
      </c>
      <c r="E40" t="e">
        <f>IF("N",'Reference Form, Maintenance'!PRINT_AREA,"AAAAAH88+wQ=")</f>
        <v>#VALUE!</v>
      </c>
    </row>
    <row r="41" spans="1:5" ht="12.75">
      <c r="A41" t="e">
        <f>IF("N",'Application, cook'!PRINT_AREA,"AAAAAHjetgA=")</f>
        <v>#VALUE!</v>
      </c>
      <c r="B41" t="e">
        <f>IF("N",'Application, couselor &amp; other'!PRINT_AREA,"AAAAAHjetgE=")</f>
        <v>#VALUE!</v>
      </c>
      <c r="C41" t="e">
        <f>IF("N",'Application, maintenance'!PRINT_AREA,"AAAAAHjetgI=")</f>
        <v>#VALUE!</v>
      </c>
      <c r="D41" t="e">
        <f>IF("N",'Application, video'!PRINT_AREA,"AAAAAHjetgM=")</f>
        <v>#VALUE!</v>
      </c>
      <c r="E41" t="e">
        <f>IF("N",'Reference Form, Maintenance'!PRINT_AREA,"AAAAAHjetgQ=")</f>
        <v>#VALUE!</v>
      </c>
    </row>
    <row r="42" spans="1:5" ht="12.75">
      <c r="A42" t="e">
        <f>IF("N",'Application, cook'!PRINT_AREA,"AAAAAGTN7wA=")</f>
        <v>#VALUE!</v>
      </c>
      <c r="B42" t="e">
        <f>IF("N",'Application, couselor &amp; other'!PRINT_AREA,"AAAAAGTN7wE=")</f>
        <v>#VALUE!</v>
      </c>
      <c r="C42" t="e">
        <f>IF("N",'Application, maintenance'!PRINT_AREA,"AAAAAGTN7wI=")</f>
        <v>#VALUE!</v>
      </c>
      <c r="D42" t="e">
        <f>IF("N",'Application, video'!PRINT_AREA,"AAAAAGTN7wM=")</f>
        <v>#VALUE!</v>
      </c>
      <c r="E42" t="e">
        <f>IF("N",'Reference Form, Maintenance'!PRINT_AREA,"AAAAAGTN7wQ=")</f>
        <v>#VALUE!</v>
      </c>
    </row>
    <row r="43" spans="1:5" ht="12.75">
      <c r="A43" t="e">
        <f>IF("N",'Application, cook'!PRINT_AREA,"AAAAAH7/6wA=")</f>
        <v>#VALUE!</v>
      </c>
      <c r="B43" t="e">
        <f>IF("N",'Application, couselor &amp; other'!PRINT_AREA,"AAAAAH7/6wE=")</f>
        <v>#VALUE!</v>
      </c>
      <c r="C43" t="e">
        <f>IF("N",'Application, maintenance'!PRINT_AREA,"AAAAAH7/6wI=")</f>
        <v>#VALUE!</v>
      </c>
      <c r="D43" t="e">
        <f>IF("N",'Application, video'!PRINT_AREA,"AAAAAH7/6wM=")</f>
        <v>#VALUE!</v>
      </c>
      <c r="E43" t="e">
        <f>IF("N",'Reference Form, Maintenance'!PRINT_AREA,"AAAAAH7/6wQ=")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Brandon Bergey</cp:lastModifiedBy>
  <cp:lastPrinted>2011-04-14T20:59:15Z</cp:lastPrinted>
  <dcterms:created xsi:type="dcterms:W3CDTF">2004-12-08T16:53:41Z</dcterms:created>
  <dcterms:modified xsi:type="dcterms:W3CDTF">2011-04-14T21:07:18Z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1RgsbqpBK6cLNu1_gqyJrr5KwWMeJRPnx8x_ajmfgEQw</vt:lpwstr>
  </property>
  <property fmtid="{D5CDD505-2E9C-101B-9397-08002B2CF9AE}" pid="4" name="Google.Documents.RevisionId">
    <vt:lpwstr>04044280302652278450</vt:lpwstr>
  </property>
  <property fmtid="{D5CDD505-2E9C-101B-9397-08002B2CF9AE}" pid="5" name="Google.Documents.PreviousRevisionId">
    <vt:lpwstr>12690928923623579682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